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isachenko\D\гоменок\Программа Энергосбережения  2015-2020 г. г\"/>
    </mc:Choice>
  </mc:AlternateContent>
  <bookViews>
    <workbookView xWindow="120" yWindow="120" windowWidth="9720" windowHeight="7320" tabRatio="310" firstSheet="8" activeTab="8"/>
  </bookViews>
  <sheets>
    <sheet name="диаграм коммун.инфраструкт" sheetId="12" r:id="rId1"/>
    <sheet name="диаграм.жил.фонд" sheetId="11" r:id="rId2"/>
    <sheet name="диаграм.бюджет.сфера" sheetId="10" r:id="rId3"/>
    <sheet name="диаграм по отдельн видам ТЭР" sheetId="9" r:id="rId4"/>
    <sheet name="диаграм.общ.показ." sheetId="8" r:id="rId5"/>
    <sheet name="диаграмма1" sheetId="7" r:id="rId6"/>
    <sheet name="данные база" sheetId="3" state="hidden" r:id="rId7"/>
    <sheet name="расчет показат" sheetId="2" state="hidden" r:id="rId8"/>
    <sheet name="ЦЕЛЕВЫЕ ПОКАЗАТЕЛИ" sheetId="15" r:id="rId9"/>
    <sheet name="тэр районы" sheetId="5" state="hidden" r:id="rId10"/>
  </sheets>
  <calcPr calcId="152511"/>
</workbook>
</file>

<file path=xl/calcChain.xml><?xml version="1.0" encoding="utf-8"?>
<calcChain xmlns="http://schemas.openxmlformats.org/spreadsheetml/2006/main">
  <c r="J7" i="15" l="1"/>
  <c r="K7" i="15"/>
  <c r="L7" i="15" s="1"/>
  <c r="M7" i="15" s="1"/>
  <c r="N7" i="15" s="1"/>
  <c r="O7" i="15" s="1"/>
  <c r="P7" i="15" s="1"/>
  <c r="Q7" i="15" s="1"/>
  <c r="R7" i="15" s="1"/>
  <c r="S7" i="15" s="1"/>
  <c r="J9" i="15"/>
  <c r="K9" i="15"/>
  <c r="L9" i="15"/>
  <c r="J11" i="15"/>
  <c r="K11" i="15"/>
  <c r="L11" i="15" s="1"/>
  <c r="J111" i="15"/>
  <c r="I112" i="15"/>
  <c r="J112" i="15"/>
  <c r="J114" i="15" s="1"/>
  <c r="I115" i="15"/>
  <c r="I130" i="15" s="1"/>
  <c r="I118" i="15"/>
  <c r="J118" i="15"/>
  <c r="K118" i="15" s="1"/>
  <c r="I119" i="15"/>
  <c r="J119" i="15"/>
  <c r="I120" i="15"/>
  <c r="J120" i="15"/>
  <c r="I121" i="15"/>
  <c r="J121" i="15"/>
  <c r="K122" i="15"/>
  <c r="L122" i="15"/>
  <c r="L123" i="15" s="1"/>
  <c r="I124" i="15"/>
  <c r="J124" i="15"/>
  <c r="K124" i="15"/>
  <c r="I125" i="15"/>
  <c r="J126" i="15"/>
  <c r="I128" i="15"/>
  <c r="J128" i="15"/>
  <c r="I129" i="15"/>
  <c r="J129" i="15"/>
  <c r="T99" i="15"/>
  <c r="T92" i="15"/>
  <c r="D90" i="15"/>
  <c r="C90" i="15"/>
  <c r="B90" i="15"/>
  <c r="D86" i="15"/>
  <c r="C86" i="15"/>
  <c r="B86" i="15"/>
  <c r="U63" i="15"/>
  <c r="D41" i="15"/>
  <c r="C41" i="15"/>
  <c r="B41" i="15"/>
  <c r="D40" i="15"/>
  <c r="C40" i="15"/>
  <c r="B40" i="15"/>
  <c r="E39" i="15"/>
  <c r="D39" i="15"/>
  <c r="C39" i="15"/>
  <c r="U22" i="15"/>
  <c r="S9" i="15"/>
  <c r="R9" i="15"/>
  <c r="Q9" i="15"/>
  <c r="P9" i="15"/>
  <c r="O9" i="15"/>
  <c r="N9" i="15"/>
  <c r="M9" i="15"/>
  <c r="H75" i="3"/>
  <c r="I75" i="3" s="1"/>
  <c r="E30" i="2"/>
  <c r="B10" i="11"/>
  <c r="C10" i="11"/>
  <c r="D10" i="11"/>
  <c r="G45" i="3"/>
  <c r="R14" i="5"/>
  <c r="R42" i="5"/>
  <c r="S42" i="5" s="1"/>
  <c r="J14" i="5"/>
  <c r="K14" i="5" s="1"/>
  <c r="B14" i="5"/>
  <c r="C14" i="5" s="1"/>
  <c r="G81" i="3"/>
  <c r="G173" i="3" s="1"/>
  <c r="G83" i="3"/>
  <c r="H83" i="3" s="1"/>
  <c r="G72" i="3"/>
  <c r="H72" i="3" s="1"/>
  <c r="S38" i="5"/>
  <c r="S41" i="5"/>
  <c r="R36" i="5"/>
  <c r="S36" i="5" s="1"/>
  <c r="R32" i="5"/>
  <c r="S32" i="5" s="1"/>
  <c r="S44" i="5"/>
  <c r="S40" i="5"/>
  <c r="F31" i="2"/>
  <c r="G70" i="2"/>
  <c r="G74" i="2"/>
  <c r="E2" i="12"/>
  <c r="G44" i="3"/>
  <c r="G42" i="3"/>
  <c r="G79" i="3"/>
  <c r="G169" i="3" s="1"/>
  <c r="G172" i="3" s="1"/>
  <c r="G75" i="3"/>
  <c r="G77" i="3"/>
  <c r="E52" i="3"/>
  <c r="E54" i="3"/>
  <c r="E51" i="3"/>
  <c r="G52" i="3"/>
  <c r="G54" i="3"/>
  <c r="G51" i="3" s="1"/>
  <c r="G56" i="3"/>
  <c r="Q56" i="3" s="1"/>
  <c r="E76" i="3"/>
  <c r="G70" i="3"/>
  <c r="H70" i="3"/>
  <c r="G84" i="3"/>
  <c r="G147" i="3"/>
  <c r="E85" i="3"/>
  <c r="E148" i="3"/>
  <c r="G86" i="3"/>
  <c r="G154" i="3"/>
  <c r="E87" i="3"/>
  <c r="E155" i="3"/>
  <c r="E156" i="3" s="1"/>
  <c r="B4" i="5"/>
  <c r="C4" i="5" s="1"/>
  <c r="D20" i="5"/>
  <c r="D21" i="5"/>
  <c r="B8" i="5"/>
  <c r="C8" i="5" s="1"/>
  <c r="C10" i="5"/>
  <c r="C13" i="5"/>
  <c r="E18" i="3"/>
  <c r="F18" i="3" s="1"/>
  <c r="AA10" i="5"/>
  <c r="AA12" i="5"/>
  <c r="AA13" i="5"/>
  <c r="AA14" i="5"/>
  <c r="AA16" i="5"/>
  <c r="G47" i="3"/>
  <c r="G49" i="3"/>
  <c r="G76" i="3"/>
  <c r="K14" i="3"/>
  <c r="L14" i="3"/>
  <c r="L13" i="3"/>
  <c r="M14" i="3"/>
  <c r="M13" i="3"/>
  <c r="M12" i="3"/>
  <c r="N14" i="3"/>
  <c r="N13" i="3"/>
  <c r="N12" i="3"/>
  <c r="N11" i="3"/>
  <c r="O14" i="3"/>
  <c r="O13" i="3"/>
  <c r="O12" i="3"/>
  <c r="O11" i="3"/>
  <c r="O10" i="3"/>
  <c r="P14" i="3"/>
  <c r="P13" i="3"/>
  <c r="P12" i="3"/>
  <c r="P11" i="3"/>
  <c r="P10" i="3"/>
  <c r="Q14" i="3"/>
  <c r="Q13" i="3"/>
  <c r="Q12" i="3"/>
  <c r="Q11" i="3"/>
  <c r="Q10" i="3"/>
  <c r="Q9" i="3"/>
  <c r="Q8" i="3"/>
  <c r="F33" i="3"/>
  <c r="G87" i="3"/>
  <c r="G155" i="3" s="1"/>
  <c r="F87" i="3"/>
  <c r="F155" i="3" s="1"/>
  <c r="J8" i="5"/>
  <c r="K8" i="5" s="1"/>
  <c r="F84" i="3"/>
  <c r="F147" i="3" s="1"/>
  <c r="E84" i="3"/>
  <c r="E147" i="3" s="1"/>
  <c r="S13" i="5"/>
  <c r="R4" i="5"/>
  <c r="S4" i="5"/>
  <c r="R8" i="5"/>
  <c r="S8" i="5"/>
  <c r="S10" i="5"/>
  <c r="T22" i="5"/>
  <c r="T23" i="5"/>
  <c r="K13" i="5"/>
  <c r="J4" i="5"/>
  <c r="K4" i="5"/>
  <c r="L20" i="5"/>
  <c r="L21" i="5"/>
  <c r="K10" i="5"/>
  <c r="D3" i="8"/>
  <c r="E38" i="3"/>
  <c r="E42" i="3"/>
  <c r="E44" i="3"/>
  <c r="E41" i="3"/>
  <c r="E56" i="3"/>
  <c r="E116" i="3"/>
  <c r="E3" i="12"/>
  <c r="B2" i="12"/>
  <c r="C2" i="12"/>
  <c r="D2" i="12"/>
  <c r="I64" i="3"/>
  <c r="K64" i="3"/>
  <c r="Q64" i="3"/>
  <c r="C12" i="5"/>
  <c r="C16" i="5"/>
  <c r="G85" i="3"/>
  <c r="G148" i="3" s="1"/>
  <c r="G143" i="3" s="1"/>
  <c r="F85" i="3"/>
  <c r="F148" i="3"/>
  <c r="F38" i="3"/>
  <c r="C5" i="12"/>
  <c r="D5" i="12"/>
  <c r="B5" i="12"/>
  <c r="C4" i="12"/>
  <c r="D4" i="12"/>
  <c r="B4" i="12"/>
  <c r="C3" i="12"/>
  <c r="D3" i="12"/>
  <c r="B3" i="12"/>
  <c r="D13" i="11"/>
  <c r="C12" i="11"/>
  <c r="D12" i="11"/>
  <c r="B12" i="11"/>
  <c r="C9" i="11"/>
  <c r="D9" i="11"/>
  <c r="B9" i="11"/>
  <c r="C7" i="11"/>
  <c r="D7" i="11"/>
  <c r="C6" i="11"/>
  <c r="D6" i="11"/>
  <c r="E6" i="11"/>
  <c r="F6" i="11"/>
  <c r="G6" i="11"/>
  <c r="H6" i="11"/>
  <c r="I6" i="11"/>
  <c r="J6" i="11"/>
  <c r="K6" i="11"/>
  <c r="L6" i="11"/>
  <c r="M6" i="11"/>
  <c r="N6" i="11"/>
  <c r="B6" i="11"/>
  <c r="C4" i="11"/>
  <c r="D4" i="11"/>
  <c r="B4" i="11"/>
  <c r="C6" i="10"/>
  <c r="D6" i="10"/>
  <c r="B6" i="10"/>
  <c r="B5" i="10"/>
  <c r="C4" i="10"/>
  <c r="D4" i="10"/>
  <c r="C3" i="10"/>
  <c r="D3" i="10"/>
  <c r="B3" i="10"/>
  <c r="K12" i="5"/>
  <c r="K16" i="5"/>
  <c r="S12" i="5"/>
  <c r="S16" i="5"/>
  <c r="C5" i="8"/>
  <c r="D5" i="8"/>
  <c r="C4" i="8"/>
  <c r="D4" i="8"/>
  <c r="E47" i="3"/>
  <c r="E49" i="3"/>
  <c r="E46" i="3" s="1"/>
  <c r="E222" i="3" s="1"/>
  <c r="B4" i="8"/>
  <c r="C3" i="8"/>
  <c r="F29" i="3"/>
  <c r="G8" i="2"/>
  <c r="F86" i="3"/>
  <c r="E86" i="3"/>
  <c r="E154" i="3"/>
  <c r="E30" i="3"/>
  <c r="F30" i="3"/>
  <c r="G30" i="3"/>
  <c r="E31" i="3"/>
  <c r="F31" i="3"/>
  <c r="G31" i="3"/>
  <c r="E32" i="3"/>
  <c r="F32" i="3"/>
  <c r="G32" i="3"/>
  <c r="E34" i="3"/>
  <c r="F34" i="3"/>
  <c r="G34" i="3"/>
  <c r="E35" i="3"/>
  <c r="F35" i="3"/>
  <c r="G35" i="3"/>
  <c r="E37" i="3"/>
  <c r="F37" i="3"/>
  <c r="G37" i="3"/>
  <c r="E39" i="3"/>
  <c r="F39" i="3"/>
  <c r="G39" i="3"/>
  <c r="E40" i="3"/>
  <c r="F40" i="3"/>
  <c r="G40" i="3"/>
  <c r="F42" i="3"/>
  <c r="E43" i="3"/>
  <c r="F43" i="3"/>
  <c r="G43" i="3"/>
  <c r="F44" i="3"/>
  <c r="F45" i="3"/>
  <c r="F47" i="3"/>
  <c r="F49" i="3"/>
  <c r="F46" i="3" s="1"/>
  <c r="F48" i="3"/>
  <c r="G48" i="3"/>
  <c r="E50" i="3"/>
  <c r="F50" i="3"/>
  <c r="G50" i="3"/>
  <c r="F52" i="3"/>
  <c r="F54" i="3"/>
  <c r="H54" i="3"/>
  <c r="E55" i="3"/>
  <c r="F55" i="3"/>
  <c r="G55" i="3"/>
  <c r="H55" i="3"/>
  <c r="F56" i="3"/>
  <c r="E57" i="3"/>
  <c r="F57" i="3"/>
  <c r="G57" i="3"/>
  <c r="E58" i="3"/>
  <c r="F58" i="3"/>
  <c r="G58" i="3"/>
  <c r="E59" i="3"/>
  <c r="F59" i="3"/>
  <c r="G59" i="3"/>
  <c r="E60" i="3"/>
  <c r="F60" i="3"/>
  <c r="G60" i="3"/>
  <c r="E61" i="3"/>
  <c r="F61" i="3"/>
  <c r="G61" i="3"/>
  <c r="E62" i="3"/>
  <c r="F62" i="3"/>
  <c r="G62" i="3"/>
  <c r="E63" i="3"/>
  <c r="F63" i="3"/>
  <c r="G63" i="3"/>
  <c r="E64" i="3"/>
  <c r="F64" i="3"/>
  <c r="G64" i="3"/>
  <c r="E65" i="3"/>
  <c r="F65" i="3"/>
  <c r="G65" i="3"/>
  <c r="E66" i="3"/>
  <c r="F66" i="3"/>
  <c r="G66" i="3"/>
  <c r="E67" i="3"/>
  <c r="F67" i="3"/>
  <c r="G67" i="3"/>
  <c r="E68" i="3"/>
  <c r="F68" i="3"/>
  <c r="G68" i="3"/>
  <c r="H68" i="3"/>
  <c r="E69" i="3"/>
  <c r="F69" i="3"/>
  <c r="G69" i="3"/>
  <c r="E70" i="3"/>
  <c r="E72" i="3"/>
  <c r="F70" i="3"/>
  <c r="F72" i="3"/>
  <c r="E73" i="3"/>
  <c r="F73" i="3"/>
  <c r="G73" i="3"/>
  <c r="E75" i="3"/>
  <c r="E77" i="3"/>
  <c r="F75" i="3"/>
  <c r="F76" i="3"/>
  <c r="F78" i="3"/>
  <c r="F129" i="3" s="1"/>
  <c r="F77" i="3"/>
  <c r="E79" i="3"/>
  <c r="E169" i="3"/>
  <c r="F79" i="3"/>
  <c r="F169" i="3"/>
  <c r="F81" i="3"/>
  <c r="F173" i="3"/>
  <c r="E80" i="3"/>
  <c r="E170" i="3"/>
  <c r="F80" i="3"/>
  <c r="F170" i="3"/>
  <c r="G80" i="3"/>
  <c r="G170" i="3"/>
  <c r="E81" i="3"/>
  <c r="E173" i="3"/>
  <c r="E82" i="3"/>
  <c r="E174" i="3"/>
  <c r="F82" i="3"/>
  <c r="F174" i="3"/>
  <c r="G82" i="3"/>
  <c r="G174" i="3"/>
  <c r="G175" i="3" s="1"/>
  <c r="E83" i="3"/>
  <c r="F83" i="3"/>
  <c r="E88" i="3"/>
  <c r="F88" i="3"/>
  <c r="G88" i="3"/>
  <c r="H88" i="3" s="1"/>
  <c r="E89" i="3"/>
  <c r="F89" i="3"/>
  <c r="G89" i="3"/>
  <c r="E90" i="3"/>
  <c r="F90" i="3"/>
  <c r="G90" i="3"/>
  <c r="E95" i="3"/>
  <c r="F95" i="3"/>
  <c r="G95" i="3"/>
  <c r="H95" i="3"/>
  <c r="E98" i="3"/>
  <c r="F98" i="3"/>
  <c r="G98" i="3"/>
  <c r="E99" i="3"/>
  <c r="F99" i="3"/>
  <c r="G99" i="3"/>
  <c r="E100" i="3"/>
  <c r="F100" i="3"/>
  <c r="G100" i="3"/>
  <c r="E101" i="3"/>
  <c r="F101" i="3"/>
  <c r="G101" i="3"/>
  <c r="E102" i="3"/>
  <c r="F102" i="3"/>
  <c r="G102" i="3"/>
  <c r="E103" i="3"/>
  <c r="F103" i="3"/>
  <c r="G103" i="3"/>
  <c r="E104" i="3"/>
  <c r="F104" i="3"/>
  <c r="G104" i="3"/>
  <c r="E105" i="3"/>
  <c r="F105" i="3"/>
  <c r="G105" i="3"/>
  <c r="I49" i="3"/>
  <c r="E120" i="2"/>
  <c r="F120" i="2"/>
  <c r="E119" i="2"/>
  <c r="F119" i="2"/>
  <c r="G120" i="2"/>
  <c r="G119" i="2"/>
  <c r="H119" i="2"/>
  <c r="F118" i="2"/>
  <c r="G118" i="2"/>
  <c r="F117" i="2"/>
  <c r="G117" i="2"/>
  <c r="E118" i="2"/>
  <c r="E117" i="2"/>
  <c r="N1" i="12"/>
  <c r="C1" i="12"/>
  <c r="D1" i="12"/>
  <c r="E1" i="12"/>
  <c r="F1" i="12"/>
  <c r="G1" i="12"/>
  <c r="H1" i="12"/>
  <c r="I1" i="12"/>
  <c r="J1" i="12"/>
  <c r="K1" i="12"/>
  <c r="L1" i="12"/>
  <c r="M1" i="12"/>
  <c r="B1" i="12"/>
  <c r="A3" i="12"/>
  <c r="A4" i="12"/>
  <c r="A5" i="12"/>
  <c r="A2" i="12"/>
  <c r="F67" i="2"/>
  <c r="G67" i="2"/>
  <c r="E67" i="2"/>
  <c r="F66" i="2"/>
  <c r="G66" i="2"/>
  <c r="E66" i="2"/>
  <c r="F64" i="2"/>
  <c r="G64" i="2"/>
  <c r="E64" i="2"/>
  <c r="F63" i="2"/>
  <c r="G63" i="2"/>
  <c r="E63" i="2"/>
  <c r="F62" i="2"/>
  <c r="F59" i="2"/>
  <c r="G59" i="2"/>
  <c r="E59" i="2"/>
  <c r="N2" i="11"/>
  <c r="L2" i="11"/>
  <c r="M2" i="11"/>
  <c r="C2" i="11"/>
  <c r="D2" i="11"/>
  <c r="E2" i="11"/>
  <c r="F2" i="11"/>
  <c r="G2" i="11"/>
  <c r="H2" i="11"/>
  <c r="I2" i="11"/>
  <c r="J2" i="11"/>
  <c r="K2" i="11"/>
  <c r="B2" i="11"/>
  <c r="A13" i="11"/>
  <c r="A12" i="11"/>
  <c r="A10" i="11"/>
  <c r="A9" i="11"/>
  <c r="A7" i="11"/>
  <c r="A6" i="11"/>
  <c r="A3" i="11"/>
  <c r="A4" i="11"/>
  <c r="C4" i="9"/>
  <c r="D4" i="9"/>
  <c r="B4" i="9"/>
  <c r="C5" i="9"/>
  <c r="D5" i="9"/>
  <c r="B5" i="9"/>
  <c r="F43" i="2"/>
  <c r="G43" i="2"/>
  <c r="F42" i="2"/>
  <c r="F41" i="2"/>
  <c r="G41" i="2"/>
  <c r="E42" i="2"/>
  <c r="E43" i="2"/>
  <c r="F40" i="2"/>
  <c r="G40" i="2"/>
  <c r="E40" i="2"/>
  <c r="A4" i="10"/>
  <c r="A5" i="10"/>
  <c r="A6" i="10"/>
  <c r="A3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C6" i="9"/>
  <c r="D6" i="9"/>
  <c r="B6" i="9"/>
  <c r="C3" i="9"/>
  <c r="D3" i="9"/>
  <c r="B3" i="9"/>
  <c r="N2" i="9"/>
  <c r="C2" i="9"/>
  <c r="D2" i="9"/>
  <c r="E2" i="9"/>
  <c r="F2" i="9"/>
  <c r="G2" i="9"/>
  <c r="H2" i="9"/>
  <c r="I2" i="9"/>
  <c r="J2" i="9"/>
  <c r="K2" i="9"/>
  <c r="L2" i="9"/>
  <c r="M2" i="9"/>
  <c r="B2" i="9"/>
  <c r="A1" i="9"/>
  <c r="F11" i="2"/>
  <c r="G11" i="2"/>
  <c r="F10" i="2"/>
  <c r="G10" i="2"/>
  <c r="F9" i="2"/>
  <c r="G9" i="2"/>
  <c r="E9" i="2"/>
  <c r="E10" i="2"/>
  <c r="C1" i="8"/>
  <c r="D1" i="8"/>
  <c r="E1" i="8"/>
  <c r="F1" i="8"/>
  <c r="G1" i="8"/>
  <c r="H1" i="8"/>
  <c r="I1" i="8"/>
  <c r="J1" i="8"/>
  <c r="K1" i="8"/>
  <c r="L1" i="8"/>
  <c r="M1" i="8"/>
  <c r="N1" i="8"/>
  <c r="B1" i="8"/>
  <c r="A3" i="8"/>
  <c r="A4" i="8"/>
  <c r="A5" i="8"/>
  <c r="A2" i="8"/>
  <c r="B4" i="7"/>
  <c r="A4" i="7"/>
  <c r="A3" i="7"/>
  <c r="B2" i="7"/>
  <c r="A2" i="7"/>
  <c r="N1" i="7"/>
  <c r="O1" i="7"/>
  <c r="P1" i="7"/>
  <c r="E1" i="7"/>
  <c r="F1" i="7"/>
  <c r="G1" i="7"/>
  <c r="H1" i="7"/>
  <c r="I1" i="7"/>
  <c r="J1" i="7"/>
  <c r="K1" i="7"/>
  <c r="L1" i="7"/>
  <c r="M1" i="7"/>
  <c r="D1" i="7"/>
  <c r="F70" i="2"/>
  <c r="G45" i="2"/>
  <c r="F48" i="2" s="1"/>
  <c r="F45" i="2"/>
  <c r="E25" i="2"/>
  <c r="F25" i="2"/>
  <c r="G25" i="2"/>
  <c r="G27" i="2" s="1"/>
  <c r="F12" i="2"/>
  <c r="G12" i="2"/>
  <c r="E12" i="2"/>
  <c r="I50" i="3"/>
  <c r="J50" i="3"/>
  <c r="K50" i="3"/>
  <c r="L50" i="3"/>
  <c r="M50" i="3"/>
  <c r="N50" i="3"/>
  <c r="O50" i="3"/>
  <c r="P50" i="3"/>
  <c r="Q50" i="3"/>
  <c r="I54" i="3"/>
  <c r="J54" i="3"/>
  <c r="K54" i="3"/>
  <c r="L54" i="3"/>
  <c r="M54" i="3"/>
  <c r="N54" i="3"/>
  <c r="O54" i="3"/>
  <c r="P54" i="3"/>
  <c r="Q54" i="3"/>
  <c r="I55" i="3"/>
  <c r="J55" i="3"/>
  <c r="K55" i="3"/>
  <c r="L55" i="3"/>
  <c r="M55" i="3"/>
  <c r="N55" i="3"/>
  <c r="O55" i="3"/>
  <c r="P55" i="3"/>
  <c r="Q55" i="3"/>
  <c r="J64" i="3"/>
  <c r="L64" i="3"/>
  <c r="I68" i="3"/>
  <c r="J68" i="3"/>
  <c r="K68" i="3"/>
  <c r="L68" i="3"/>
  <c r="M68" i="3"/>
  <c r="N68" i="3"/>
  <c r="O68" i="3"/>
  <c r="P68" i="3"/>
  <c r="Q68" i="3"/>
  <c r="I95" i="3"/>
  <c r="J95" i="3"/>
  <c r="K95" i="3"/>
  <c r="L95" i="3"/>
  <c r="M95" i="3"/>
  <c r="N95" i="3"/>
  <c r="O95" i="3"/>
  <c r="P95" i="3"/>
  <c r="Q95" i="3"/>
  <c r="R231" i="3"/>
  <c r="D222" i="3"/>
  <c r="J237" i="3"/>
  <c r="J238" i="3" s="1"/>
  <c r="K236" i="3"/>
  <c r="K237" i="3" s="1"/>
  <c r="K238" i="3" s="1"/>
  <c r="L237" i="3"/>
  <c r="L238" i="3"/>
  <c r="I237" i="3"/>
  <c r="I238" i="3"/>
  <c r="M238" i="3"/>
  <c r="N238" i="3"/>
  <c r="O238" i="3"/>
  <c r="P238" i="3"/>
  <c r="Q238" i="3"/>
  <c r="F116" i="2"/>
  <c r="G116" i="2"/>
  <c r="E116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E115" i="2"/>
  <c r="O109" i="2"/>
  <c r="P109" i="2"/>
  <c r="Q109" i="2"/>
  <c r="L87" i="2"/>
  <c r="M87" i="2"/>
  <c r="N87" i="2"/>
  <c r="O87" i="2"/>
  <c r="P87" i="2"/>
  <c r="O76" i="2"/>
  <c r="P76" i="2"/>
  <c r="F69" i="2"/>
  <c r="G69" i="2"/>
  <c r="E69" i="2"/>
  <c r="F68" i="2"/>
  <c r="G68" i="2"/>
  <c r="I68" i="2"/>
  <c r="J68" i="2"/>
  <c r="K68" i="2"/>
  <c r="L68" i="2"/>
  <c r="M68" i="2"/>
  <c r="N68" i="2"/>
  <c r="O68" i="2"/>
  <c r="P68" i="2"/>
  <c r="Q68" i="2"/>
  <c r="E68" i="2"/>
  <c r="F65" i="2"/>
  <c r="G65" i="2"/>
  <c r="E65" i="2"/>
  <c r="F55" i="2"/>
  <c r="G55" i="2"/>
  <c r="E55" i="2"/>
  <c r="F54" i="2"/>
  <c r="G54" i="2"/>
  <c r="E54" i="2"/>
  <c r="F53" i="2"/>
  <c r="G53" i="2"/>
  <c r="I53" i="2"/>
  <c r="E53" i="2"/>
  <c r="F52" i="2"/>
  <c r="G52" i="2"/>
  <c r="E52" i="2"/>
  <c r="F50" i="2"/>
  <c r="G50" i="2"/>
  <c r="E50" i="2"/>
  <c r="F46" i="2"/>
  <c r="G46" i="2"/>
  <c r="F49" i="2"/>
  <c r="G49" i="2"/>
  <c r="E46" i="2"/>
  <c r="E49" i="2" s="1"/>
  <c r="E45" i="2"/>
  <c r="E48" i="2"/>
  <c r="F35" i="2"/>
  <c r="F38" i="2"/>
  <c r="G38" i="2"/>
  <c r="H38" i="2"/>
  <c r="I38" i="2"/>
  <c r="J38" i="2"/>
  <c r="K38" i="2"/>
  <c r="L38" i="2"/>
  <c r="M38" i="2"/>
  <c r="N38" i="2"/>
  <c r="O38" i="2"/>
  <c r="P38" i="2"/>
  <c r="Q38" i="2"/>
  <c r="E38" i="2"/>
  <c r="F30" i="2"/>
  <c r="G31" i="2"/>
  <c r="F26" i="2"/>
  <c r="E26" i="2"/>
  <c r="F21" i="2"/>
  <c r="G21" i="2"/>
  <c r="E21" i="2"/>
  <c r="F19" i="2"/>
  <c r="G19" i="2"/>
  <c r="E19" i="2"/>
  <c r="L13" i="2"/>
  <c r="M13" i="2"/>
  <c r="N13" i="2"/>
  <c r="O13" i="2"/>
  <c r="P13" i="2"/>
  <c r="Q13" i="2"/>
  <c r="G98" i="2"/>
  <c r="F98" i="2"/>
  <c r="E98" i="2"/>
  <c r="H46" i="2"/>
  <c r="H49" i="2"/>
  <c r="E31" i="2"/>
  <c r="K109" i="2"/>
  <c r="L109" i="2"/>
  <c r="M109" i="2"/>
  <c r="N109" i="2"/>
  <c r="M76" i="2"/>
  <c r="N76" i="2"/>
  <c r="H68" i="2"/>
  <c r="I65" i="3"/>
  <c r="F4" i="12"/>
  <c r="E4" i="12"/>
  <c r="F17" i="2"/>
  <c r="F23" i="2"/>
  <c r="E23" i="2"/>
  <c r="E11" i="2"/>
  <c r="G23" i="2"/>
  <c r="E36" i="3"/>
  <c r="F74" i="3"/>
  <c r="G74" i="3"/>
  <c r="B5" i="8"/>
  <c r="I118" i="2"/>
  <c r="B3" i="8"/>
  <c r="B13" i="11"/>
  <c r="C13" i="11"/>
  <c r="I119" i="2"/>
  <c r="G33" i="3"/>
  <c r="Q52" i="2"/>
  <c r="E5" i="12"/>
  <c r="H120" i="2"/>
  <c r="G26" i="2"/>
  <c r="B4" i="10"/>
  <c r="E41" i="2"/>
  <c r="H53" i="2"/>
  <c r="G17" i="2"/>
  <c r="E33" i="3"/>
  <c r="E17" i="2"/>
  <c r="N64" i="3"/>
  <c r="H69" i="3"/>
  <c r="E58" i="2"/>
  <c r="G29" i="3"/>
  <c r="E70" i="2"/>
  <c r="E62" i="2"/>
  <c r="B7" i="11"/>
  <c r="E78" i="3"/>
  <c r="E129" i="3" s="1"/>
  <c r="G130" i="3" s="1"/>
  <c r="G62" i="2"/>
  <c r="G78" i="3"/>
  <c r="G129" i="3"/>
  <c r="C5" i="10"/>
  <c r="D5" i="10"/>
  <c r="G30" i="2"/>
  <c r="G42" i="2"/>
  <c r="E8" i="2"/>
  <c r="E29" i="3"/>
  <c r="C2" i="8"/>
  <c r="F8" i="2"/>
  <c r="B2" i="8"/>
  <c r="D2" i="7"/>
  <c r="E24" i="3"/>
  <c r="E23" i="3"/>
  <c r="F28" i="3"/>
  <c r="H58" i="3"/>
  <c r="K65" i="3"/>
  <c r="F60" i="2"/>
  <c r="P64" i="3"/>
  <c r="F36" i="3"/>
  <c r="E26" i="3"/>
  <c r="J52" i="2"/>
  <c r="P54" i="2"/>
  <c r="N52" i="2"/>
  <c r="H53" i="3"/>
  <c r="G53" i="3"/>
  <c r="E48" i="3"/>
  <c r="G4" i="12"/>
  <c r="J119" i="2"/>
  <c r="I58" i="3"/>
  <c r="I120" i="2"/>
  <c r="H118" i="2"/>
  <c r="E35" i="2"/>
  <c r="E53" i="3"/>
  <c r="Q43" i="3"/>
  <c r="J54" i="2"/>
  <c r="J65" i="3"/>
  <c r="H116" i="2"/>
  <c r="G36" i="3"/>
  <c r="F5" i="12"/>
  <c r="F3" i="12"/>
  <c r="H4" i="12"/>
  <c r="F154" i="3"/>
  <c r="F160" i="3"/>
  <c r="L119" i="2"/>
  <c r="I4" i="12"/>
  <c r="G5" i="12"/>
  <c r="J120" i="2"/>
  <c r="F22" i="3"/>
  <c r="H54" i="2"/>
  <c r="H65" i="3"/>
  <c r="H52" i="2"/>
  <c r="E60" i="2"/>
  <c r="E74" i="3"/>
  <c r="G24" i="3"/>
  <c r="L52" i="2"/>
  <c r="H64" i="3"/>
  <c r="D3" i="11"/>
  <c r="G71" i="3"/>
  <c r="G136" i="3" s="1"/>
  <c r="G58" i="2"/>
  <c r="C3" i="11"/>
  <c r="F58" i="2"/>
  <c r="F71" i="3"/>
  <c r="F136" i="3" s="1"/>
  <c r="E45" i="3"/>
  <c r="F2" i="7"/>
  <c r="F24" i="3"/>
  <c r="I69" i="3"/>
  <c r="H117" i="2"/>
  <c r="G38" i="3"/>
  <c r="G28" i="3"/>
  <c r="I45" i="3"/>
  <c r="L65" i="3"/>
  <c r="L54" i="2"/>
  <c r="I52" i="2"/>
  <c r="D2" i="8"/>
  <c r="O64" i="3"/>
  <c r="I54" i="2"/>
  <c r="F53" i="3"/>
  <c r="E71" i="3"/>
  <c r="E136" i="3" s="1"/>
  <c r="B3" i="11"/>
  <c r="L45" i="3"/>
  <c r="F41" i="3"/>
  <c r="F109" i="3" s="1"/>
  <c r="G127" i="3"/>
  <c r="J88" i="3"/>
  <c r="F116" i="3"/>
  <c r="Q88" i="3"/>
  <c r="F127" i="3"/>
  <c r="F135" i="3"/>
  <c r="G32" i="2"/>
  <c r="P88" i="3"/>
  <c r="G141" i="3"/>
  <c r="G161" i="3"/>
  <c r="O28" i="2"/>
  <c r="I28" i="2"/>
  <c r="G22" i="3"/>
  <c r="J4" i="12"/>
  <c r="M119" i="2"/>
  <c r="O45" i="3"/>
  <c r="G26" i="3"/>
  <c r="P52" i="2"/>
  <c r="I45" i="2"/>
  <c r="I46" i="2"/>
  <c r="I49" i="2"/>
  <c r="I116" i="2"/>
  <c r="H5" i="12"/>
  <c r="K120" i="2"/>
  <c r="F2" i="12"/>
  <c r="I117" i="2"/>
  <c r="G3" i="12"/>
  <c r="J118" i="2"/>
  <c r="L120" i="2"/>
  <c r="I5" i="12"/>
  <c r="J46" i="2"/>
  <c r="J49" i="2" s="1"/>
  <c r="H90" i="3"/>
  <c r="K118" i="2"/>
  <c r="G2" i="12"/>
  <c r="J117" i="2"/>
  <c r="J116" i="2"/>
  <c r="N119" i="2"/>
  <c r="K4" i="12"/>
  <c r="J5" i="12"/>
  <c r="M120" i="2"/>
  <c r="K46" i="2"/>
  <c r="K49" i="2"/>
  <c r="H2" i="12"/>
  <c r="K117" i="2"/>
  <c r="K116" i="2"/>
  <c r="O119" i="2"/>
  <c r="L4" i="12"/>
  <c r="H91" i="3"/>
  <c r="L117" i="2"/>
  <c r="I2" i="12"/>
  <c r="P119" i="2"/>
  <c r="M4" i="12"/>
  <c r="L116" i="2"/>
  <c r="L46" i="2"/>
  <c r="L49" i="2" s="1"/>
  <c r="K5" i="12"/>
  <c r="L5" i="12"/>
  <c r="N120" i="2"/>
  <c r="M46" i="2"/>
  <c r="M49" i="2"/>
  <c r="M116" i="2"/>
  <c r="N4" i="12"/>
  <c r="Q119" i="2"/>
  <c r="J2" i="12"/>
  <c r="M117" i="2"/>
  <c r="N116" i="2"/>
  <c r="K2" i="12"/>
  <c r="P120" i="2"/>
  <c r="M5" i="12"/>
  <c r="N46" i="2"/>
  <c r="N49" i="2" s="1"/>
  <c r="O46" i="2"/>
  <c r="O49" i="2" s="1"/>
  <c r="N5" i="12"/>
  <c r="Q120" i="2"/>
  <c r="O116" i="2"/>
  <c r="P46" i="2"/>
  <c r="P49" i="2"/>
  <c r="Q46" i="2"/>
  <c r="Q49" i="2"/>
  <c r="F104" i="2"/>
  <c r="E97" i="3"/>
  <c r="G97" i="3"/>
  <c r="H56" i="3"/>
  <c r="F141" i="3"/>
  <c r="F161" i="3" s="1"/>
  <c r="I33" i="2"/>
  <c r="O88" i="3"/>
  <c r="I88" i="3"/>
  <c r="M56" i="3"/>
  <c r="S14" i="5"/>
  <c r="E25" i="3"/>
  <c r="E120" i="3"/>
  <c r="K88" i="3"/>
  <c r="J56" i="3"/>
  <c r="N88" i="3"/>
  <c r="L56" i="3"/>
  <c r="L116" i="3" s="1"/>
  <c r="L117" i="3" s="1"/>
  <c r="G135" i="3"/>
  <c r="E141" i="3"/>
  <c r="E161" i="3" s="1"/>
  <c r="L88" i="3"/>
  <c r="M88" i="3"/>
  <c r="G116" i="3"/>
  <c r="P56" i="3"/>
  <c r="O56" i="3"/>
  <c r="N56" i="3"/>
  <c r="K56" i="3"/>
  <c r="G33" i="2"/>
  <c r="I56" i="3"/>
  <c r="M33" i="2"/>
  <c r="L2" i="12"/>
  <c r="K119" i="2"/>
  <c r="N117" i="2"/>
  <c r="E22" i="3"/>
  <c r="E21" i="3"/>
  <c r="G46" i="3"/>
  <c r="I50" i="2"/>
  <c r="H45" i="2"/>
  <c r="G48" i="2"/>
  <c r="H50" i="2"/>
  <c r="P65" i="3"/>
  <c r="K54" i="2"/>
  <c r="M64" i="3"/>
  <c r="G137" i="3"/>
  <c r="H73" i="3"/>
  <c r="H74" i="3"/>
  <c r="G60" i="2"/>
  <c r="H173" i="3"/>
  <c r="G176" i="3"/>
  <c r="G178" i="3" s="1"/>
  <c r="M116" i="3"/>
  <c r="H116" i="3"/>
  <c r="K116" i="3"/>
  <c r="O116" i="3"/>
  <c r="P117" i="3" s="1"/>
  <c r="M117" i="3"/>
  <c r="M118" i="3" s="1"/>
  <c r="J116" i="3"/>
  <c r="I116" i="3"/>
  <c r="N116" i="3"/>
  <c r="P116" i="3"/>
  <c r="M2" i="12"/>
  <c r="Q65" i="3"/>
  <c r="Q54" i="2"/>
  <c r="O65" i="3"/>
  <c r="O54" i="2"/>
  <c r="L118" i="3"/>
  <c r="P118" i="3"/>
  <c r="N2" i="12"/>
  <c r="E4" i="11"/>
  <c r="H59" i="2"/>
  <c r="G94" i="3"/>
  <c r="F82" i="2"/>
  <c r="F93" i="3"/>
  <c r="J6" i="10"/>
  <c r="M43" i="2"/>
  <c r="K43" i="2"/>
  <c r="M6" i="10"/>
  <c r="P57" i="3"/>
  <c r="O57" i="3"/>
  <c r="L6" i="10"/>
  <c r="O43" i="2"/>
  <c r="I6" i="10"/>
  <c r="L57" i="3"/>
  <c r="L43" i="2"/>
  <c r="J43" i="2"/>
  <c r="G6" i="10"/>
  <c r="J57" i="3"/>
  <c r="I57" i="3"/>
  <c r="I43" i="2"/>
  <c r="F6" i="10"/>
  <c r="N57" i="3"/>
  <c r="K6" i="10"/>
  <c r="N43" i="2"/>
  <c r="G81" i="2"/>
  <c r="G85" i="2"/>
  <c r="G92" i="3"/>
  <c r="G82" i="2"/>
  <c r="G93" i="3"/>
  <c r="F92" i="3"/>
  <c r="E92" i="3"/>
  <c r="G91" i="2"/>
  <c r="E93" i="3"/>
  <c r="E82" i="2"/>
  <c r="P43" i="2"/>
  <c r="M57" i="3"/>
  <c r="H6" i="10"/>
  <c r="K57" i="3"/>
  <c r="H31" i="2"/>
  <c r="F222" i="3"/>
  <c r="F120" i="3"/>
  <c r="H48" i="2"/>
  <c r="F51" i="3"/>
  <c r="F113" i="3"/>
  <c r="E149" i="3"/>
  <c r="E143" i="3"/>
  <c r="H33" i="2"/>
  <c r="N65" i="2"/>
  <c r="F168" i="3"/>
  <c r="E168" i="3"/>
  <c r="H169" i="3"/>
  <c r="E135" i="3"/>
  <c r="H71" i="3"/>
  <c r="H136" i="3" s="1"/>
  <c r="H135" i="3"/>
  <c r="H137" i="3" s="1"/>
  <c r="E137" i="3"/>
  <c r="J69" i="3"/>
  <c r="O52" i="2"/>
  <c r="M52" i="2"/>
  <c r="K52" i="2"/>
  <c r="E158" i="3"/>
  <c r="E160" i="3"/>
  <c r="H154" i="3"/>
  <c r="G144" i="3"/>
  <c r="F149" i="3"/>
  <c r="F143" i="3"/>
  <c r="F144" i="3"/>
  <c r="F158" i="3" s="1"/>
  <c r="G152" i="3"/>
  <c r="G142" i="3"/>
  <c r="F142" i="3"/>
  <c r="F146" i="3" s="1"/>
  <c r="F152" i="3"/>
  <c r="E142" i="3"/>
  <c r="E146" i="3"/>
  <c r="E152" i="3"/>
  <c r="Q116" i="3"/>
  <c r="Q117" i="3" s="1"/>
  <c r="Q118" i="3" s="1"/>
  <c r="H43" i="2"/>
  <c r="H57" i="3"/>
  <c r="E6" i="10"/>
  <c r="G41" i="3"/>
  <c r="G109" i="3" s="1"/>
  <c r="T26" i="5"/>
  <c r="S17" i="5"/>
  <c r="S18" i="5"/>
  <c r="K69" i="3"/>
  <c r="H155" i="3"/>
  <c r="I154" i="3"/>
  <c r="J154" i="3" s="1"/>
  <c r="H142" i="3"/>
  <c r="H143" i="3"/>
  <c r="G146" i="3"/>
  <c r="T13" i="5"/>
  <c r="T8" i="5"/>
  <c r="G207" i="3"/>
  <c r="T14" i="5"/>
  <c r="G214" i="3"/>
  <c r="T12" i="5"/>
  <c r="T4" i="5"/>
  <c r="G192" i="3" s="1"/>
  <c r="J10" i="11"/>
  <c r="O64" i="2"/>
  <c r="L10" i="11"/>
  <c r="P65" i="2"/>
  <c r="Q65" i="2"/>
  <c r="L65" i="2"/>
  <c r="M64" i="2"/>
  <c r="H58" i="2"/>
  <c r="E3" i="11"/>
  <c r="L69" i="3"/>
  <c r="I155" i="3"/>
  <c r="I156" i="3" s="1"/>
  <c r="I157" i="3" s="1"/>
  <c r="H87" i="3"/>
  <c r="H156" i="3"/>
  <c r="I142" i="3"/>
  <c r="I143" i="3" s="1"/>
  <c r="I144" i="3" s="1"/>
  <c r="I151" i="3" s="1"/>
  <c r="H144" i="3"/>
  <c r="Q43" i="2"/>
  <c r="Q57" i="3"/>
  <c r="N6" i="10"/>
  <c r="M69" i="3"/>
  <c r="H163" i="3"/>
  <c r="H160" i="3"/>
  <c r="H86" i="3" s="1"/>
  <c r="K154" i="3"/>
  <c r="L154" i="3" s="1"/>
  <c r="M154" i="3" s="1"/>
  <c r="N154" i="3" s="1"/>
  <c r="I87" i="3"/>
  <c r="I146" i="3"/>
  <c r="H151" i="3"/>
  <c r="N69" i="3"/>
  <c r="I163" i="3"/>
  <c r="I160" i="3"/>
  <c r="I86" i="3" s="1"/>
  <c r="K155" i="3"/>
  <c r="K156" i="3" s="1"/>
  <c r="K163" i="3" s="1"/>
  <c r="I145" i="3"/>
  <c r="O69" i="3"/>
  <c r="J63" i="2"/>
  <c r="G9" i="11"/>
  <c r="P69" i="3"/>
  <c r="M155" i="3"/>
  <c r="M156" i="3" s="1"/>
  <c r="Q69" i="3"/>
  <c r="F97" i="3"/>
  <c r="G92" i="2"/>
  <c r="G102" i="2" s="1"/>
  <c r="L118" i="2"/>
  <c r="I3" i="12"/>
  <c r="M118" i="2"/>
  <c r="H3" i="12"/>
  <c r="Q116" i="2"/>
  <c r="E2" i="7"/>
  <c r="M45" i="3"/>
  <c r="K43" i="3"/>
  <c r="J45" i="3"/>
  <c r="P45" i="3"/>
  <c r="N118" i="2"/>
  <c r="J3" i="12"/>
  <c r="N45" i="3"/>
  <c r="H43" i="3"/>
  <c r="Q45" i="3"/>
  <c r="K3" i="12"/>
  <c r="H45" i="3"/>
  <c r="L3" i="12"/>
  <c r="M3" i="12"/>
  <c r="N3" i="12"/>
  <c r="G104" i="2"/>
  <c r="E104" i="2"/>
  <c r="S45" i="5"/>
  <c r="S20" i="5"/>
  <c r="T10" i="5"/>
  <c r="T16" i="5"/>
  <c r="K17" i="5"/>
  <c r="C17" i="5"/>
  <c r="D14" i="5"/>
  <c r="E214" i="3" s="1"/>
  <c r="H214" i="3"/>
  <c r="I214" i="3" s="1"/>
  <c r="J214" i="3" s="1"/>
  <c r="K214" i="3" s="1"/>
  <c r="L214" i="3"/>
  <c r="M214" i="3" s="1"/>
  <c r="N214" i="3" s="1"/>
  <c r="O214" i="3" s="1"/>
  <c r="P214" i="3" s="1"/>
  <c r="Q214" i="3" s="1"/>
  <c r="G88" i="2"/>
  <c r="L88" i="2"/>
  <c r="Q110" i="2"/>
  <c r="G110" i="2"/>
  <c r="T36" i="5"/>
  <c r="T40" i="5"/>
  <c r="T38" i="5"/>
  <c r="D4" i="5"/>
  <c r="E192" i="3" s="1"/>
  <c r="D12" i="5"/>
  <c r="D8" i="5"/>
  <c r="E207" i="3"/>
  <c r="H207" i="3" s="1"/>
  <c r="I207" i="3" s="1"/>
  <c r="D16" i="5"/>
  <c r="C18" i="5"/>
  <c r="D13" i="5"/>
  <c r="D10" i="5"/>
  <c r="J90" i="3"/>
  <c r="J91" i="3"/>
  <c r="G131" i="3"/>
  <c r="N43" i="3"/>
  <c r="I43" i="3"/>
  <c r="K45" i="3"/>
  <c r="K53" i="3"/>
  <c r="H48" i="3"/>
  <c r="G35" i="2"/>
  <c r="H50" i="3"/>
  <c r="E127" i="3"/>
  <c r="G171" i="3"/>
  <c r="G177" i="3"/>
  <c r="O88" i="2"/>
  <c r="M88" i="2"/>
  <c r="N88" i="2"/>
  <c r="L43" i="3"/>
  <c r="M53" i="3"/>
  <c r="L53" i="3"/>
  <c r="P53" i="3"/>
  <c r="O53" i="3"/>
  <c r="J53" i="3"/>
  <c r="H42" i="2"/>
  <c r="H30" i="2"/>
  <c r="H47" i="3"/>
  <c r="E5" i="10"/>
  <c r="N53" i="3"/>
  <c r="G37" i="2"/>
  <c r="G39" i="2"/>
  <c r="E39" i="2"/>
  <c r="F39" i="2"/>
  <c r="Q53" i="3"/>
  <c r="H32" i="2"/>
  <c r="H34" i="2"/>
  <c r="Q192" i="3"/>
  <c r="M192" i="3"/>
  <c r="O192" i="3"/>
  <c r="P192" i="3"/>
  <c r="K192" i="3"/>
  <c r="I192" i="3"/>
  <c r="L192" i="3"/>
  <c r="N192" i="3"/>
  <c r="J192" i="3"/>
  <c r="H192" i="3"/>
  <c r="F26" i="3"/>
  <c r="F25" i="3" s="1"/>
  <c r="E28" i="3"/>
  <c r="E27" i="3"/>
  <c r="F110" i="2"/>
  <c r="L110" i="2"/>
  <c r="N110" i="2"/>
  <c r="P110" i="2"/>
  <c r="E7" i="2"/>
  <c r="E19" i="3"/>
  <c r="E20" i="3"/>
  <c r="D4" i="7"/>
  <c r="J207" i="3"/>
  <c r="K207" i="3" s="1"/>
  <c r="L207" i="3"/>
  <c r="M207" i="3" s="1"/>
  <c r="N207" i="3" s="1"/>
  <c r="O207" i="3" s="1"/>
  <c r="P207" i="3" s="1"/>
  <c r="Q207" i="3" s="1"/>
  <c r="I48" i="3"/>
  <c r="J43" i="3"/>
  <c r="P43" i="3"/>
  <c r="O43" i="3"/>
  <c r="D3" i="7"/>
  <c r="M43" i="3"/>
  <c r="I83" i="3"/>
  <c r="F94" i="3"/>
  <c r="F92" i="2"/>
  <c r="F95" i="2"/>
  <c r="E92" i="2"/>
  <c r="E102" i="2"/>
  <c r="E94" i="3"/>
  <c r="J83" i="3"/>
  <c r="K83" i="3" s="1"/>
  <c r="J92" i="3"/>
  <c r="H94" i="3"/>
  <c r="F102" i="2"/>
  <c r="E95" i="2"/>
  <c r="H69" i="2"/>
  <c r="F103" i="2"/>
  <c r="F96" i="3"/>
  <c r="I69" i="2"/>
  <c r="I94" i="3"/>
  <c r="E96" i="3"/>
  <c r="H96" i="3"/>
  <c r="E71" i="2"/>
  <c r="E91" i="3"/>
  <c r="G91" i="3"/>
  <c r="G71" i="2"/>
  <c r="J50" i="2"/>
  <c r="J58" i="3"/>
  <c r="J45" i="2"/>
  <c r="I48" i="2"/>
  <c r="F91" i="3"/>
  <c r="F71" i="2"/>
  <c r="E76" i="2" s="1"/>
  <c r="G77" i="2"/>
  <c r="N77" i="2"/>
  <c r="K58" i="3"/>
  <c r="K50" i="2"/>
  <c r="K45" i="2"/>
  <c r="J48" i="2"/>
  <c r="L50" i="2"/>
  <c r="L58" i="3"/>
  <c r="L45" i="2"/>
  <c r="K48" i="2" s="1"/>
  <c r="M45" i="2"/>
  <c r="L48" i="2" s="1"/>
  <c r="M58" i="3"/>
  <c r="M50" i="2"/>
  <c r="N50" i="2"/>
  <c r="N45" i="2"/>
  <c r="Q67" i="3"/>
  <c r="N65" i="3"/>
  <c r="N54" i="2"/>
  <c r="M54" i="2"/>
  <c r="M65" i="3"/>
  <c r="J53" i="2"/>
  <c r="N58" i="3"/>
  <c r="F21" i="3"/>
  <c r="F27" i="3"/>
  <c r="F23" i="3"/>
  <c r="G18" i="3"/>
  <c r="P67" i="3"/>
  <c r="L67" i="3"/>
  <c r="H67" i="3"/>
  <c r="N12" i="2"/>
  <c r="J12" i="2"/>
  <c r="M67" i="3"/>
  <c r="I67" i="3"/>
  <c r="O12" i="2"/>
  <c r="K12" i="2"/>
  <c r="N67" i="3"/>
  <c r="J67" i="3"/>
  <c r="P12" i="2"/>
  <c r="L12" i="2"/>
  <c r="H12" i="2"/>
  <c r="O67" i="3"/>
  <c r="K67" i="3"/>
  <c r="Q12" i="2"/>
  <c r="M12" i="2"/>
  <c r="I12" i="2"/>
  <c r="N53" i="2"/>
  <c r="O53" i="2"/>
  <c r="M53" i="2"/>
  <c r="P53" i="2"/>
  <c r="L53" i="2"/>
  <c r="Q53" i="2"/>
  <c r="K53" i="2"/>
  <c r="H18" i="3"/>
  <c r="G23" i="3"/>
  <c r="G2" i="7"/>
  <c r="H66" i="3"/>
  <c r="H55" i="2"/>
  <c r="H2" i="7"/>
  <c r="I18" i="3"/>
  <c r="J18" i="3" s="1"/>
  <c r="K18" i="3" s="1"/>
  <c r="I66" i="3"/>
  <c r="I55" i="2"/>
  <c r="I2" i="7"/>
  <c r="J66" i="3"/>
  <c r="J55" i="2"/>
  <c r="J2" i="7"/>
  <c r="K66" i="3"/>
  <c r="K55" i="2"/>
  <c r="K2" i="7"/>
  <c r="L18" i="3"/>
  <c r="M18" i="3" s="1"/>
  <c r="N18" i="3" s="1"/>
  <c r="O18" i="3" s="1"/>
  <c r="P18" i="3" s="1"/>
  <c r="Q18" i="3" s="1"/>
  <c r="L55" i="2"/>
  <c r="L66" i="3"/>
  <c r="L2" i="7"/>
  <c r="M66" i="3"/>
  <c r="M55" i="2"/>
  <c r="M2" i="7"/>
  <c r="N55" i="2"/>
  <c r="N66" i="3"/>
  <c r="N2" i="7"/>
  <c r="O55" i="2"/>
  <c r="O66" i="3"/>
  <c r="P2" i="7"/>
  <c r="O2" i="7"/>
  <c r="P55" i="2"/>
  <c r="P66" i="3"/>
  <c r="Q66" i="3"/>
  <c r="Q55" i="2"/>
  <c r="M122" i="15"/>
  <c r="M11" i="15"/>
  <c r="M123" i="15"/>
  <c r="M124" i="15" s="1"/>
  <c r="N122" i="15"/>
  <c r="N123" i="15"/>
  <c r="N11" i="15"/>
  <c r="O11" i="15"/>
  <c r="P11" i="15"/>
  <c r="Q11" i="15" s="1"/>
  <c r="R11" i="15"/>
  <c r="S11" i="15" s="1"/>
  <c r="H97" i="3"/>
  <c r="E103" i="2"/>
  <c r="E107" i="2" s="1"/>
  <c r="I93" i="3"/>
  <c r="G103" i="2"/>
  <c r="G96" i="3"/>
  <c r="R20" i="3"/>
  <c r="H20" i="3"/>
  <c r="M160" i="3"/>
  <c r="M86" i="3" s="1"/>
  <c r="K160" i="3"/>
  <c r="H92" i="2"/>
  <c r="E101" i="2"/>
  <c r="F101" i="2"/>
  <c r="I41" i="3"/>
  <c r="I109" i="3" s="1"/>
  <c r="H41" i="3"/>
  <c r="O41" i="3"/>
  <c r="M41" i="3"/>
  <c r="K41" i="3"/>
  <c r="K109" i="3" s="1"/>
  <c r="J41" i="3"/>
  <c r="Q41" i="3"/>
  <c r="P41" i="3"/>
  <c r="N41" i="3"/>
  <c r="N109" i="3" s="1"/>
  <c r="L41" i="3"/>
  <c r="O117" i="2"/>
  <c r="F109" i="2"/>
  <c r="G156" i="3"/>
  <c r="G120" i="3"/>
  <c r="L46" i="3"/>
  <c r="L222" i="3" s="1"/>
  <c r="P46" i="3"/>
  <c r="I72" i="3"/>
  <c r="J46" i="3"/>
  <c r="P116" i="2"/>
  <c r="O120" i="2"/>
  <c r="M46" i="3"/>
  <c r="Q46" i="3"/>
  <c r="Q120" i="3" s="1"/>
  <c r="I70" i="3"/>
  <c r="J70" i="3"/>
  <c r="I135" i="3"/>
  <c r="I71" i="3"/>
  <c r="Q222" i="3"/>
  <c r="I53" i="3"/>
  <c r="J72" i="3"/>
  <c r="I73" i="3"/>
  <c r="I74" i="3"/>
  <c r="L120" i="3"/>
  <c r="H60" i="2"/>
  <c r="G160" i="3"/>
  <c r="G158" i="3"/>
  <c r="H157" i="3"/>
  <c r="F4" i="7"/>
  <c r="G7" i="2"/>
  <c r="H9" i="11"/>
  <c r="K63" i="2"/>
  <c r="I30" i="2"/>
  <c r="I32" i="2" s="1"/>
  <c r="I47" i="3"/>
  <c r="I42" i="2"/>
  <c r="F5" i="10"/>
  <c r="I90" i="3"/>
  <c r="K90" i="3"/>
  <c r="K64" i="2"/>
  <c r="H10" i="11"/>
  <c r="N10" i="11"/>
  <c r="Q64" i="2"/>
  <c r="E13" i="11"/>
  <c r="H67" i="2"/>
  <c r="L63" i="2"/>
  <c r="I9" i="11"/>
  <c r="G12" i="11"/>
  <c r="J66" i="2"/>
  <c r="O48" i="3"/>
  <c r="K48" i="3"/>
  <c r="N48" i="3"/>
  <c r="J48" i="3"/>
  <c r="P117" i="2"/>
  <c r="Q109" i="3"/>
  <c r="O109" i="3"/>
  <c r="J65" i="2"/>
  <c r="J82" i="2"/>
  <c r="I67" i="2"/>
  <c r="F13" i="11"/>
  <c r="O50" i="2"/>
  <c r="O45" i="2"/>
  <c r="N48" i="2"/>
  <c r="O58" i="3"/>
  <c r="G113" i="2"/>
  <c r="F113" i="2"/>
  <c r="I92" i="3"/>
  <c r="J120" i="3"/>
  <c r="J222" i="3"/>
  <c r="K10" i="11"/>
  <c r="N64" i="2"/>
  <c r="O65" i="2"/>
  <c r="E9" i="11"/>
  <c r="H63" i="2"/>
  <c r="I63" i="2"/>
  <c r="F9" i="11"/>
  <c r="I81" i="2"/>
  <c r="M10" i="11"/>
  <c r="P64" i="2"/>
  <c r="K65" i="2"/>
  <c r="L64" i="2"/>
  <c r="I10" i="11"/>
  <c r="M65" i="2"/>
  <c r="N63" i="2"/>
  <c r="K9" i="11"/>
  <c r="O118" i="2"/>
  <c r="E4" i="7"/>
  <c r="F7" i="2"/>
  <c r="Q48" i="3"/>
  <c r="M48" i="3"/>
  <c r="P48" i="3"/>
  <c r="L48" i="3"/>
  <c r="J64" i="2"/>
  <c r="J81" i="2"/>
  <c r="I84" i="2" s="1"/>
  <c r="G10" i="11"/>
  <c r="L109" i="3"/>
  <c r="M110" i="3" s="1"/>
  <c r="P109" i="3"/>
  <c r="Q110" i="3"/>
  <c r="J109" i="3"/>
  <c r="K110" i="3"/>
  <c r="M109" i="3"/>
  <c r="N110" i="3"/>
  <c r="H109" i="3"/>
  <c r="H70" i="2"/>
  <c r="G73" i="2" s="1"/>
  <c r="H102" i="2"/>
  <c r="J93" i="3"/>
  <c r="K86" i="3"/>
  <c r="M7" i="11"/>
  <c r="P62" i="2"/>
  <c r="H19" i="3"/>
  <c r="E113" i="2"/>
  <c r="L44" i="3"/>
  <c r="H93" i="3"/>
  <c r="Q44" i="3"/>
  <c r="K93" i="3"/>
  <c r="G3" i="7"/>
  <c r="H110" i="3"/>
  <c r="I110" i="3"/>
  <c r="M44" i="3"/>
  <c r="M41" i="2"/>
  <c r="J4" i="10"/>
  <c r="M42" i="3"/>
  <c r="M25" i="2"/>
  <c r="J44" i="3"/>
  <c r="J42" i="3"/>
  <c r="G4" i="10"/>
  <c r="J25" i="2"/>
  <c r="J41" i="2"/>
  <c r="I85" i="2"/>
  <c r="I91" i="3"/>
  <c r="N47" i="3"/>
  <c r="K5" i="10"/>
  <c r="N42" i="2"/>
  <c r="N30" i="2"/>
  <c r="K47" i="3"/>
  <c r="K42" i="2"/>
  <c r="H5" i="10"/>
  <c r="K30" i="2"/>
  <c r="O47" i="3"/>
  <c r="O30" i="2"/>
  <c r="K62" i="2"/>
  <c r="H7" i="11"/>
  <c r="I42" i="3"/>
  <c r="I25" i="2"/>
  <c r="O44" i="3"/>
  <c r="O41" i="2"/>
  <c r="O42" i="3"/>
  <c r="L4" i="10"/>
  <c r="O25" i="2"/>
  <c r="K44" i="3"/>
  <c r="N44" i="3"/>
  <c r="N42" i="3"/>
  <c r="K4" i="10"/>
  <c r="N25" i="2"/>
  <c r="N41" i="2"/>
  <c r="Q117" i="2"/>
  <c r="M5" i="10"/>
  <c r="P47" i="3"/>
  <c r="P30" i="2"/>
  <c r="P42" i="2"/>
  <c r="Q47" i="3"/>
  <c r="Q30" i="2"/>
  <c r="N5" i="10"/>
  <c r="Q42" i="2"/>
  <c r="K70" i="3"/>
  <c r="I62" i="2"/>
  <c r="O63" i="2"/>
  <c r="M87" i="3"/>
  <c r="H74" i="2"/>
  <c r="H44" i="3"/>
  <c r="H26" i="2"/>
  <c r="H42" i="3"/>
  <c r="H41" i="2"/>
  <c r="E4" i="10"/>
  <c r="H25" i="2"/>
  <c r="H27" i="2" s="1"/>
  <c r="N204" i="3"/>
  <c r="N203" i="3" s="1"/>
  <c r="N111" i="3"/>
  <c r="P44" i="3"/>
  <c r="P42" i="3"/>
  <c r="M4" i="10"/>
  <c r="P41" i="2"/>
  <c r="P25" i="2"/>
  <c r="L41" i="2"/>
  <c r="I4" i="10"/>
  <c r="L25" i="2"/>
  <c r="L42" i="3"/>
  <c r="J85" i="2"/>
  <c r="F20" i="3"/>
  <c r="F19" i="3" s="1"/>
  <c r="F198" i="3" s="1"/>
  <c r="E3" i="7"/>
  <c r="P118" i="2"/>
  <c r="K91" i="3"/>
  <c r="J47" i="3"/>
  <c r="G5" i="10"/>
  <c r="J42" i="2"/>
  <c r="J30" i="2"/>
  <c r="P50" i="2"/>
  <c r="P45" i="2"/>
  <c r="O48" i="2" s="1"/>
  <c r="P58" i="3"/>
  <c r="J91" i="2"/>
  <c r="J88" i="2"/>
  <c r="K42" i="3"/>
  <c r="H4" i="10"/>
  <c r="K25" i="2"/>
  <c r="K29" i="2" s="1"/>
  <c r="K41" i="2"/>
  <c r="Q42" i="3"/>
  <c r="Q41" i="2"/>
  <c r="Q25" i="2"/>
  <c r="Q27" i="2" s="1"/>
  <c r="N4" i="10"/>
  <c r="I34" i="2"/>
  <c r="F3" i="7"/>
  <c r="G20" i="3"/>
  <c r="G19" i="3"/>
  <c r="G198" i="3" s="1"/>
  <c r="L30" i="2"/>
  <c r="L32" i="2" s="1"/>
  <c r="L42" i="2"/>
  <c r="L47" i="3"/>
  <c r="I5" i="10"/>
  <c r="K72" i="3"/>
  <c r="K135" i="3" s="1"/>
  <c r="J73" i="3"/>
  <c r="M47" i="3"/>
  <c r="J5" i="10"/>
  <c r="M42" i="2"/>
  <c r="M30" i="2"/>
  <c r="I136" i="3"/>
  <c r="I137" i="3" s="1"/>
  <c r="I138" i="3" s="1"/>
  <c r="F7" i="11"/>
  <c r="J110" i="3"/>
  <c r="I41" i="2"/>
  <c r="L110" i="3"/>
  <c r="L9" i="11"/>
  <c r="K82" i="2"/>
  <c r="L93" i="3"/>
  <c r="K87" i="2"/>
  <c r="J87" i="2"/>
  <c r="K88" i="2"/>
  <c r="I60" i="2"/>
  <c r="K27" i="2"/>
  <c r="Q63" i="2"/>
  <c r="N9" i="11"/>
  <c r="L204" i="3"/>
  <c r="L203" i="3" s="1"/>
  <c r="L111" i="3"/>
  <c r="J204" i="3"/>
  <c r="J203" i="3"/>
  <c r="J111" i="3"/>
  <c r="M32" i="2"/>
  <c r="M34" i="2"/>
  <c r="J69" i="2"/>
  <c r="J94" i="3"/>
  <c r="O62" i="2"/>
  <c r="L7" i="11"/>
  <c r="L90" i="3"/>
  <c r="Q118" i="2"/>
  <c r="P27" i="2"/>
  <c r="P29" i="2"/>
  <c r="H28" i="2"/>
  <c r="H29" i="2"/>
  <c r="N7" i="11"/>
  <c r="Q62" i="2"/>
  <c r="H71" i="2"/>
  <c r="E7" i="11"/>
  <c r="H62" i="2"/>
  <c r="J62" i="2"/>
  <c r="G7" i="11"/>
  <c r="M111" i="3"/>
  <c r="M204" i="3"/>
  <c r="M203" i="3"/>
  <c r="K71" i="3"/>
  <c r="L70" i="3"/>
  <c r="F3" i="11"/>
  <c r="I58" i="2"/>
  <c r="I92" i="2"/>
  <c r="H101" i="2" s="1"/>
  <c r="N29" i="2"/>
  <c r="N27" i="2"/>
  <c r="I27" i="2"/>
  <c r="I29" i="2"/>
  <c r="K94" i="3"/>
  <c r="K69" i="2"/>
  <c r="K34" i="2"/>
  <c r="K32" i="2"/>
  <c r="N32" i="2"/>
  <c r="N34" i="2"/>
  <c r="J29" i="2"/>
  <c r="J27" i="2"/>
  <c r="H111" i="3"/>
  <c r="H204" i="3"/>
  <c r="H203" i="3" s="1"/>
  <c r="L62" i="2"/>
  <c r="I7" i="11"/>
  <c r="J74" i="3"/>
  <c r="O42" i="2"/>
  <c r="L5" i="10"/>
  <c r="I44" i="3"/>
  <c r="K73" i="3"/>
  <c r="L72" i="3"/>
  <c r="L74" i="3" s="1"/>
  <c r="L34" i="2"/>
  <c r="J9" i="11"/>
  <c r="M63" i="2"/>
  <c r="Q45" i="2"/>
  <c r="P48" i="2"/>
  <c r="Q50" i="2"/>
  <c r="Q58" i="3"/>
  <c r="J32" i="2"/>
  <c r="J34" i="2"/>
  <c r="L29" i="2"/>
  <c r="L27" i="2"/>
  <c r="P63" i="2"/>
  <c r="M9" i="11"/>
  <c r="G13" i="11"/>
  <c r="J67" i="2"/>
  <c r="K92" i="3"/>
  <c r="K81" i="2"/>
  <c r="K85" i="2" s="1"/>
  <c r="Q34" i="2"/>
  <c r="Q32" i="2"/>
  <c r="I59" i="2"/>
  <c r="F4" i="11"/>
  <c r="P32" i="2"/>
  <c r="P34" i="2"/>
  <c r="O27" i="2"/>
  <c r="O29" i="2"/>
  <c r="P3" i="7"/>
  <c r="O32" i="2"/>
  <c r="O34" i="2"/>
  <c r="M29" i="2"/>
  <c r="M27" i="2"/>
  <c r="I204" i="3"/>
  <c r="I203" i="3" s="1"/>
  <c r="I111" i="3"/>
  <c r="H92" i="3"/>
  <c r="H81" i="2"/>
  <c r="H85" i="2" s="1"/>
  <c r="J7" i="11"/>
  <c r="M62" i="2"/>
  <c r="K7" i="11"/>
  <c r="N62" i="2"/>
  <c r="H7" i="2"/>
  <c r="G4" i="7"/>
  <c r="F4" i="10"/>
  <c r="H13" i="11"/>
  <c r="K67" i="2"/>
  <c r="G84" i="2"/>
  <c r="I65" i="2"/>
  <c r="I82" i="2"/>
  <c r="F10" i="11"/>
  <c r="I64" i="2"/>
  <c r="H65" i="2"/>
  <c r="H82" i="2"/>
  <c r="H64" i="2"/>
  <c r="E10" i="11"/>
  <c r="P4" i="7"/>
  <c r="AA19" i="5"/>
  <c r="Q7" i="2"/>
  <c r="J84" i="2"/>
  <c r="N13" i="11"/>
  <c r="Q67" i="2"/>
  <c r="M90" i="3"/>
  <c r="M13" i="11"/>
  <c r="P67" i="2"/>
  <c r="H12" i="11"/>
  <c r="K66" i="2"/>
  <c r="L66" i="2"/>
  <c r="I12" i="11"/>
  <c r="I96" i="2"/>
  <c r="H95" i="2"/>
  <c r="G3" i="11"/>
  <c r="J58" i="2"/>
  <c r="J92" i="2"/>
  <c r="I101" i="2" s="1"/>
  <c r="H80" i="2"/>
  <c r="G76" i="2"/>
  <c r="G79" i="2"/>
  <c r="H77" i="2"/>
  <c r="I97" i="3"/>
  <c r="N67" i="2"/>
  <c r="K13" i="11"/>
  <c r="L91" i="3"/>
  <c r="G4" i="11"/>
  <c r="J59" i="2"/>
  <c r="K91" i="2"/>
  <c r="L92" i="3"/>
  <c r="L81" i="2"/>
  <c r="L85" i="2" s="1"/>
  <c r="L94" i="3"/>
  <c r="L69" i="2"/>
  <c r="L73" i="3"/>
  <c r="M72" i="3"/>
  <c r="M73" i="3" s="1"/>
  <c r="L12" i="11"/>
  <c r="O66" i="2"/>
  <c r="I13" i="11"/>
  <c r="L67" i="2"/>
  <c r="M91" i="3"/>
  <c r="L71" i="3"/>
  <c r="M70" i="3"/>
  <c r="L135" i="3"/>
  <c r="L137" i="3" s="1"/>
  <c r="L138" i="3" s="1"/>
  <c r="J13" i="11"/>
  <c r="M67" i="2"/>
  <c r="I96" i="3"/>
  <c r="M93" i="3"/>
  <c r="L13" i="11"/>
  <c r="O67" i="2"/>
  <c r="N93" i="3"/>
  <c r="P66" i="2"/>
  <c r="M12" i="11"/>
  <c r="L136" i="3"/>
  <c r="N12" i="11"/>
  <c r="Q66" i="2"/>
  <c r="K90" i="2"/>
  <c r="K84" i="2"/>
  <c r="N4" i="8"/>
  <c r="Q10" i="2"/>
  <c r="L4" i="8"/>
  <c r="O10" i="2"/>
  <c r="J60" i="2"/>
  <c r="M4" i="8"/>
  <c r="P10" i="2"/>
  <c r="N90" i="3"/>
  <c r="N91" i="3"/>
  <c r="G90" i="2"/>
  <c r="H88" i="2"/>
  <c r="G87" i="2"/>
  <c r="I88" i="2"/>
  <c r="I91" i="2"/>
  <c r="H87" i="2"/>
  <c r="I90" i="2"/>
  <c r="I87" i="2"/>
  <c r="N70" i="3"/>
  <c r="N135" i="3" s="1"/>
  <c r="M71" i="3"/>
  <c r="M135" i="3"/>
  <c r="M137" i="3" s="1"/>
  <c r="M138" i="3" s="1"/>
  <c r="K59" i="2"/>
  <c r="H4" i="11"/>
  <c r="N72" i="3"/>
  <c r="O72" i="3" s="1"/>
  <c r="L10" i="2"/>
  <c r="I4" i="8"/>
  <c r="M92" i="3"/>
  <c r="M81" i="2"/>
  <c r="M94" i="3"/>
  <c r="M69" i="2"/>
  <c r="J102" i="2"/>
  <c r="I95" i="2"/>
  <c r="H3" i="11"/>
  <c r="K58" i="2"/>
  <c r="K92" i="2"/>
  <c r="J95" i="2" s="1"/>
  <c r="G4" i="8"/>
  <c r="J10" i="2"/>
  <c r="H4" i="8"/>
  <c r="K10" i="2"/>
  <c r="K60" i="2"/>
  <c r="O93" i="3"/>
  <c r="J101" i="2"/>
  <c r="K96" i="2"/>
  <c r="N69" i="2"/>
  <c r="L84" i="2"/>
  <c r="M85" i="2"/>
  <c r="M91" i="2"/>
  <c r="O91" i="3"/>
  <c r="K4" i="8"/>
  <c r="N10" i="2"/>
  <c r="N73" i="3"/>
  <c r="E4" i="8"/>
  <c r="H10" i="2"/>
  <c r="N92" i="3"/>
  <c r="N81" i="2"/>
  <c r="J96" i="3"/>
  <c r="J103" i="2"/>
  <c r="L60" i="2"/>
  <c r="N94" i="3"/>
  <c r="O90" i="3"/>
  <c r="I4" i="11"/>
  <c r="L59" i="2"/>
  <c r="I3" i="11"/>
  <c r="L58" i="2"/>
  <c r="L92" i="2"/>
  <c r="M136" i="3"/>
  <c r="N71" i="3"/>
  <c r="O70" i="3"/>
  <c r="O71" i="3" s="1"/>
  <c r="K97" i="3"/>
  <c r="K96" i="3"/>
  <c r="K103" i="2"/>
  <c r="J4" i="8"/>
  <c r="M10" i="2"/>
  <c r="J97" i="3"/>
  <c r="J104" i="2"/>
  <c r="P93" i="3"/>
  <c r="P90" i="3"/>
  <c r="J106" i="2"/>
  <c r="K107" i="2"/>
  <c r="J112" i="2"/>
  <c r="K113" i="2"/>
  <c r="O69" i="2"/>
  <c r="P70" i="3"/>
  <c r="Q70" i="3" s="1"/>
  <c r="K101" i="2"/>
  <c r="L102" i="2"/>
  <c r="L96" i="2"/>
  <c r="M60" i="2"/>
  <c r="L97" i="3"/>
  <c r="E5" i="8"/>
  <c r="H11" i="2"/>
  <c r="J107" i="2"/>
  <c r="N85" i="2"/>
  <c r="M90" i="2"/>
  <c r="N91" i="2"/>
  <c r="M84" i="2"/>
  <c r="J4" i="11"/>
  <c r="M59" i="2"/>
  <c r="J110" i="2"/>
  <c r="J109" i="2"/>
  <c r="J113" i="2"/>
  <c r="P91" i="3"/>
  <c r="O94" i="3"/>
  <c r="O92" i="3"/>
  <c r="O81" i="2"/>
  <c r="L96" i="3"/>
  <c r="L103" i="2"/>
  <c r="J3" i="11"/>
  <c r="M58" i="2"/>
  <c r="M92" i="2"/>
  <c r="M96" i="2" s="1"/>
  <c r="I10" i="2"/>
  <c r="F4" i="8"/>
  <c r="Q93" i="3"/>
  <c r="K4" i="11"/>
  <c r="N59" i="2"/>
  <c r="N84" i="2"/>
  <c r="O91" i="2"/>
  <c r="O85" i="2"/>
  <c r="N90" i="2"/>
  <c r="N58" i="2"/>
  <c r="K3" i="11"/>
  <c r="N92" i="2"/>
  <c r="Q90" i="3"/>
  <c r="Q91" i="3"/>
  <c r="P94" i="3"/>
  <c r="P69" i="2"/>
  <c r="L95" i="2"/>
  <c r="M102" i="2"/>
  <c r="L113" i="2"/>
  <c r="K106" i="2"/>
  <c r="L107" i="2"/>
  <c r="K112" i="2"/>
  <c r="M97" i="3"/>
  <c r="M96" i="3"/>
  <c r="P92" i="3"/>
  <c r="P81" i="2"/>
  <c r="P91" i="2" s="1"/>
  <c r="E2" i="8"/>
  <c r="H8" i="2"/>
  <c r="P71" i="3"/>
  <c r="Q69" i="2"/>
  <c r="O59" i="2"/>
  <c r="L4" i="11"/>
  <c r="E3" i="8"/>
  <c r="H9" i="2"/>
  <c r="N96" i="3"/>
  <c r="N102" i="2"/>
  <c r="N96" i="2"/>
  <c r="M95" i="2"/>
  <c r="Q92" i="3"/>
  <c r="Q81" i="2"/>
  <c r="Q94" i="3"/>
  <c r="O90" i="2"/>
  <c r="O84" i="2"/>
  <c r="L3" i="11"/>
  <c r="O58" i="2"/>
  <c r="O92" i="2"/>
  <c r="N101" i="2" s="1"/>
  <c r="N97" i="3"/>
  <c r="O60" i="2"/>
  <c r="O97" i="3"/>
  <c r="O96" i="3"/>
  <c r="O103" i="2"/>
  <c r="O96" i="2"/>
  <c r="O102" i="2"/>
  <c r="P84" i="2"/>
  <c r="Q85" i="2"/>
  <c r="Q91" i="2"/>
  <c r="M4" i="11"/>
  <c r="P59" i="2"/>
  <c r="P60" i="2"/>
  <c r="P58" i="2"/>
  <c r="M3" i="11"/>
  <c r="P92" i="2"/>
  <c r="Q60" i="2"/>
  <c r="O113" i="2"/>
  <c r="O107" i="2"/>
  <c r="N3" i="11"/>
  <c r="Q58" i="2"/>
  <c r="Q92" i="2"/>
  <c r="P96" i="2"/>
  <c r="P102" i="2"/>
  <c r="P97" i="3"/>
  <c r="P96" i="3"/>
  <c r="P103" i="2"/>
  <c r="O112" i="2" s="1"/>
  <c r="Q59" i="2"/>
  <c r="N4" i="11"/>
  <c r="P95" i="2"/>
  <c r="Q96" i="2"/>
  <c r="P101" i="2"/>
  <c r="Q102" i="2"/>
  <c r="Q96" i="3"/>
  <c r="Q103" i="2"/>
  <c r="Q113" i="2" s="1"/>
  <c r="O106" i="2"/>
  <c r="P113" i="2"/>
  <c r="Q97" i="3"/>
  <c r="V22" i="15"/>
  <c r="P112" i="2"/>
  <c r="Q106" i="2"/>
  <c r="N60" i="2"/>
  <c r="H193" i="3"/>
  <c r="H138" i="3"/>
  <c r="E109" i="3"/>
  <c r="P51" i="3"/>
  <c r="H51" i="3"/>
  <c r="G113" i="3"/>
  <c r="I51" i="3"/>
  <c r="K51" i="3"/>
  <c r="M51" i="3"/>
  <c r="O51" i="3"/>
  <c r="Q51" i="3"/>
  <c r="J51" i="3"/>
  <c r="L51" i="3"/>
  <c r="N51" i="3"/>
  <c r="E113" i="3"/>
  <c r="N114" i="3" s="1"/>
  <c r="J75" i="3"/>
  <c r="I76" i="3"/>
  <c r="I147" i="3"/>
  <c r="I148" i="3"/>
  <c r="I149" i="3" s="1"/>
  <c r="I152" i="3"/>
  <c r="I161" i="3"/>
  <c r="I84" i="3"/>
  <c r="I70" i="2"/>
  <c r="H79" i="2" s="1"/>
  <c r="J76" i="3"/>
  <c r="K75" i="3"/>
  <c r="L75" i="3" s="1"/>
  <c r="I71" i="2"/>
  <c r="N113" i="3"/>
  <c r="L113" i="3"/>
  <c r="J113" i="3"/>
  <c r="Q113" i="3"/>
  <c r="O113" i="3"/>
  <c r="M113" i="3"/>
  <c r="K113" i="3"/>
  <c r="I113" i="3"/>
  <c r="H113" i="3"/>
  <c r="P113" i="3"/>
  <c r="H104" i="2"/>
  <c r="E12" i="11"/>
  <c r="H66" i="2"/>
  <c r="H103" i="2"/>
  <c r="G106" i="2" s="1"/>
  <c r="P40" i="2"/>
  <c r="P52" i="3"/>
  <c r="M3" i="10"/>
  <c r="P35" i="2"/>
  <c r="P39" i="2" s="1"/>
  <c r="E3" i="10"/>
  <c r="H52" i="3"/>
  <c r="H40" i="2"/>
  <c r="H35" i="2"/>
  <c r="H37" i="2" s="1"/>
  <c r="I52" i="3"/>
  <c r="I40" i="2"/>
  <c r="F3" i="10"/>
  <c r="I35" i="2"/>
  <c r="I39" i="2" s="1"/>
  <c r="K40" i="2"/>
  <c r="K35" i="2"/>
  <c r="K37" i="2" s="1"/>
  <c r="H3" i="10"/>
  <c r="K52" i="3"/>
  <c r="M40" i="2"/>
  <c r="J3" i="10"/>
  <c r="M52" i="3"/>
  <c r="M35" i="2"/>
  <c r="M39" i="2" s="1"/>
  <c r="L3" i="10"/>
  <c r="O52" i="3"/>
  <c r="O40" i="2"/>
  <c r="O35" i="2"/>
  <c r="O39" i="2" s="1"/>
  <c r="Q40" i="2"/>
  <c r="N3" i="10"/>
  <c r="Q52" i="3"/>
  <c r="Q35" i="2"/>
  <c r="Q37" i="2" s="1"/>
  <c r="J52" i="3"/>
  <c r="J40" i="2"/>
  <c r="G3" i="10"/>
  <c r="J35" i="2"/>
  <c r="J37" i="2" s="1"/>
  <c r="I3" i="10"/>
  <c r="L52" i="3"/>
  <c r="L40" i="2"/>
  <c r="L35" i="2"/>
  <c r="L37" i="2" s="1"/>
  <c r="K3" i="10"/>
  <c r="N52" i="3"/>
  <c r="N40" i="2"/>
  <c r="N35" i="2"/>
  <c r="N37" i="2" s="1"/>
  <c r="H76" i="2"/>
  <c r="I77" i="2"/>
  <c r="I80" i="2"/>
  <c r="J71" i="2"/>
  <c r="K76" i="3"/>
  <c r="J70" i="2"/>
  <c r="I73" i="2" s="1"/>
  <c r="H73" i="2"/>
  <c r="I141" i="3"/>
  <c r="I85" i="3"/>
  <c r="F12" i="11"/>
  <c r="I66" i="2"/>
  <c r="I103" i="2"/>
  <c r="H112" i="2" s="1"/>
  <c r="I104" i="2"/>
  <c r="J12" i="11"/>
  <c r="M66" i="2"/>
  <c r="M103" i="2"/>
  <c r="M112" i="2" s="1"/>
  <c r="K12" i="11"/>
  <c r="N66" i="2"/>
  <c r="N103" i="2"/>
  <c r="J74" i="2"/>
  <c r="K71" i="2"/>
  <c r="J79" i="2" s="1"/>
  <c r="K70" i="2"/>
  <c r="J77" i="2"/>
  <c r="I76" i="2"/>
  <c r="I79" i="2"/>
  <c r="N39" i="2"/>
  <c r="L39" i="2"/>
  <c r="J39" i="2"/>
  <c r="Q39" i="2"/>
  <c r="O37" i="2"/>
  <c r="M37" i="2"/>
  <c r="K39" i="2"/>
  <c r="I37" i="2"/>
  <c r="H39" i="2"/>
  <c r="P37" i="2"/>
  <c r="H107" i="2"/>
  <c r="H110" i="2"/>
  <c r="G109" i="2"/>
  <c r="H113" i="2"/>
  <c r="K74" i="2"/>
  <c r="J73" i="2"/>
  <c r="L71" i="2"/>
  <c r="L70" i="2"/>
  <c r="L74" i="2" s="1"/>
  <c r="K80" i="2"/>
  <c r="J76" i="2"/>
  <c r="N113" i="2"/>
  <c r="M106" i="2"/>
  <c r="N107" i="2"/>
  <c r="N112" i="2"/>
  <c r="N106" i="2"/>
  <c r="M113" i="2"/>
  <c r="L112" i="2"/>
  <c r="H109" i="2"/>
  <c r="I110" i="2"/>
  <c r="I109" i="2"/>
  <c r="I112" i="2"/>
  <c r="I107" i="2"/>
  <c r="K73" i="2"/>
  <c r="M70" i="2"/>
  <c r="M80" i="2" s="1"/>
  <c r="K79" i="2"/>
  <c r="L76" i="2"/>
  <c r="L77" i="2"/>
  <c r="M3" i="7"/>
  <c r="K3" i="7"/>
  <c r="I3" i="7"/>
  <c r="N3" i="7"/>
  <c r="L3" i="7"/>
  <c r="J3" i="7"/>
  <c r="H3" i="7"/>
  <c r="O3" i="7"/>
  <c r="O4" i="7"/>
  <c r="Q18" i="2"/>
  <c r="Q20" i="2"/>
  <c r="N4" i="9"/>
  <c r="N3" i="9"/>
  <c r="P7" i="2"/>
  <c r="N6" i="9"/>
  <c r="Q16" i="2"/>
  <c r="N5" i="9"/>
  <c r="Q22" i="2"/>
  <c r="Q23" i="2" s="1"/>
  <c r="G3" i="9"/>
  <c r="J18" i="2"/>
  <c r="G6" i="9"/>
  <c r="G4" i="9"/>
  <c r="J22" i="2"/>
  <c r="J23" i="2" s="1"/>
  <c r="J16" i="2"/>
  <c r="G5" i="9"/>
  <c r="H4" i="7"/>
  <c r="I7" i="2"/>
  <c r="J20" i="2"/>
  <c r="F4" i="9"/>
  <c r="I20" i="2"/>
  <c r="I22" i="2"/>
  <c r="I23" i="2" s="1"/>
  <c r="I16" i="2"/>
  <c r="F6" i="9"/>
  <c r="F3" i="9"/>
  <c r="I18" i="2"/>
  <c r="I19" i="2" s="1"/>
  <c r="F5" i="9"/>
  <c r="K7" i="2"/>
  <c r="J4" i="7"/>
  <c r="L18" i="2"/>
  <c r="I5" i="9"/>
  <c r="I4" i="9"/>
  <c r="L22" i="2"/>
  <c r="L16" i="2"/>
  <c r="I6" i="9"/>
  <c r="I3" i="9"/>
  <c r="L20" i="2"/>
  <c r="L4" i="7"/>
  <c r="M7" i="2"/>
  <c r="K6" i="9"/>
  <c r="N20" i="2"/>
  <c r="N21" i="2" s="1"/>
  <c r="N22" i="2"/>
  <c r="N16" i="2"/>
  <c r="N17" i="2" s="1"/>
  <c r="K5" i="9"/>
  <c r="K3" i="9"/>
  <c r="N18" i="2"/>
  <c r="K4" i="9"/>
  <c r="O7" i="2"/>
  <c r="N4" i="7"/>
  <c r="M6" i="9"/>
  <c r="P18" i="2"/>
  <c r="P19" i="2" s="1"/>
  <c r="M4" i="9"/>
  <c r="P20" i="2"/>
  <c r="M3" i="9"/>
  <c r="M5" i="9"/>
  <c r="P22" i="2"/>
  <c r="P16" i="2"/>
  <c r="Z8" i="5"/>
  <c r="AA8" i="5" s="1"/>
  <c r="I4" i="7"/>
  <c r="J7" i="2"/>
  <c r="H6" i="9"/>
  <c r="K16" i="2"/>
  <c r="H3" i="9"/>
  <c r="H5" i="9"/>
  <c r="H4" i="9"/>
  <c r="K22" i="2"/>
  <c r="K20" i="2"/>
  <c r="K21" i="2" s="1"/>
  <c r="K18" i="2"/>
  <c r="K4" i="7"/>
  <c r="M22" i="2"/>
  <c r="J5" i="9"/>
  <c r="J6" i="9"/>
  <c r="M16" i="2"/>
  <c r="J4" i="9"/>
  <c r="L7" i="2"/>
  <c r="J3" i="9"/>
  <c r="M18" i="2"/>
  <c r="M20" i="2"/>
  <c r="M21" i="2" s="1"/>
  <c r="M4" i="7"/>
  <c r="N7" i="2"/>
  <c r="L3" i="9"/>
  <c r="L4" i="9"/>
  <c r="L6" i="9"/>
  <c r="L5" i="9"/>
  <c r="O18" i="2"/>
  <c r="O19" i="2" s="1"/>
  <c r="O22" i="2"/>
  <c r="O16" i="2"/>
  <c r="O17" i="2" s="1"/>
  <c r="O20" i="2"/>
  <c r="N70" i="2"/>
  <c r="L73" i="2"/>
  <c r="M74" i="2"/>
  <c r="O70" i="2"/>
  <c r="M79" i="2"/>
  <c r="O21" i="2"/>
  <c r="T21" i="2" s="1"/>
  <c r="O23" i="2"/>
  <c r="M19" i="2"/>
  <c r="M17" i="2"/>
  <c r="M23" i="2"/>
  <c r="K19" i="2"/>
  <c r="K23" i="2"/>
  <c r="K17" i="2"/>
  <c r="N5" i="8"/>
  <c r="Q11" i="2"/>
  <c r="P17" i="2"/>
  <c r="P23" i="2"/>
  <c r="P21" i="2"/>
  <c r="N19" i="2"/>
  <c r="N23" i="2"/>
  <c r="L21" i="2"/>
  <c r="L17" i="2"/>
  <c r="L23" i="2"/>
  <c r="L19" i="2"/>
  <c r="I17" i="2"/>
  <c r="T22" i="2"/>
  <c r="I21" i="2"/>
  <c r="T20" i="2"/>
  <c r="J21" i="2"/>
  <c r="J17" i="2"/>
  <c r="J19" i="2"/>
  <c r="Q17" i="2"/>
  <c r="Q21" i="2"/>
  <c r="Q19" i="2"/>
  <c r="M5" i="8"/>
  <c r="P11" i="2"/>
  <c r="F5" i="8"/>
  <c r="I11" i="2"/>
  <c r="K11" i="2"/>
  <c r="H5" i="8"/>
  <c r="J5" i="8"/>
  <c r="M11" i="2"/>
  <c r="L5" i="8"/>
  <c r="O11" i="2"/>
  <c r="Z4" i="5"/>
  <c r="AA4" i="5" s="1"/>
  <c r="G5" i="8"/>
  <c r="J11" i="2"/>
  <c r="I5" i="8"/>
  <c r="L11" i="2"/>
  <c r="N11" i="2"/>
  <c r="K5" i="8"/>
  <c r="P70" i="2"/>
  <c r="P74" i="2" s="1"/>
  <c r="N79" i="2"/>
  <c r="T17" i="2"/>
  <c r="H18" i="2"/>
  <c r="H16" i="2"/>
  <c r="H22" i="2"/>
  <c r="H20" i="2"/>
  <c r="Q70" i="2"/>
  <c r="P80" i="2"/>
  <c r="L8" i="2"/>
  <c r="I2" i="8"/>
  <c r="G2" i="8"/>
  <c r="J8" i="2"/>
  <c r="N3" i="8"/>
  <c r="Q9" i="2"/>
  <c r="N2" i="8"/>
  <c r="Q8" i="2"/>
  <c r="H2" i="8"/>
  <c r="K8" i="2"/>
  <c r="F2" i="8"/>
  <c r="I8" i="2"/>
  <c r="M3" i="8"/>
  <c r="P9" i="2"/>
  <c r="M2" i="8"/>
  <c r="P8" i="2"/>
  <c r="I9" i="2"/>
  <c r="F3" i="8"/>
  <c r="K9" i="2"/>
  <c r="H3" i="8"/>
  <c r="M9" i="2"/>
  <c r="J3" i="8"/>
  <c r="M8" i="2"/>
  <c r="J2" i="8"/>
  <c r="L2" i="8"/>
  <c r="O8" i="2"/>
  <c r="L3" i="8"/>
  <c r="O9" i="2"/>
  <c r="G3" i="8"/>
  <c r="J9" i="2"/>
  <c r="L9" i="2"/>
  <c r="I3" i="8"/>
  <c r="N8" i="2"/>
  <c r="K2" i="8"/>
  <c r="N9" i="2"/>
  <c r="K3" i="8"/>
  <c r="P73" i="2"/>
  <c r="Q74" i="2"/>
  <c r="H21" i="2"/>
  <c r="H23" i="2"/>
  <c r="H17" i="2"/>
  <c r="H19" i="2"/>
  <c r="E4" i="9"/>
  <c r="E3" i="9"/>
  <c r="E6" i="9"/>
  <c r="E5" i="9"/>
  <c r="O80" i="2" l="1"/>
  <c r="O74" i="2"/>
  <c r="N80" i="2"/>
  <c r="M73" i="2"/>
  <c r="Q71" i="3"/>
  <c r="N137" i="3"/>
  <c r="N138" i="3" s="1"/>
  <c r="N136" i="3"/>
  <c r="Q80" i="2"/>
  <c r="P79" i="2"/>
  <c r="N73" i="2"/>
  <c r="AA17" i="5"/>
  <c r="T16" i="2"/>
  <c r="T18" i="2"/>
  <c r="N74" i="2"/>
  <c r="T19" i="2"/>
  <c r="T23" i="2"/>
  <c r="L76" i="3"/>
  <c r="M75" i="3"/>
  <c r="N195" i="3"/>
  <c r="N115" i="3"/>
  <c r="O73" i="3"/>
  <c r="P72" i="3"/>
  <c r="O74" i="3"/>
  <c r="K136" i="3"/>
  <c r="K137" i="3" s="1"/>
  <c r="K138" i="3" s="1"/>
  <c r="O79" i="2"/>
  <c r="O73" i="2"/>
  <c r="K204" i="3"/>
  <c r="K203" i="3" s="1"/>
  <c r="K111" i="3"/>
  <c r="Q204" i="3"/>
  <c r="Q203" i="3" s="1"/>
  <c r="Q111" i="3"/>
  <c r="G101" i="2"/>
  <c r="H96" i="2"/>
  <c r="G95" i="2"/>
  <c r="L79" i="2"/>
  <c r="L80" i="2"/>
  <c r="K76" i="2"/>
  <c r="I106" i="2"/>
  <c r="H106" i="2"/>
  <c r="I113" i="2"/>
  <c r="L106" i="2"/>
  <c r="M107" i="2"/>
  <c r="K77" i="2"/>
  <c r="G112" i="2"/>
  <c r="J80" i="2"/>
  <c r="I74" i="2"/>
  <c r="P114" i="3"/>
  <c r="H114" i="3"/>
  <c r="I114" i="3"/>
  <c r="K114" i="3"/>
  <c r="M114" i="3"/>
  <c r="O114" i="3"/>
  <c r="Q114" i="3"/>
  <c r="J114" i="3"/>
  <c r="L114" i="3"/>
  <c r="Q107" i="2"/>
  <c r="P106" i="2"/>
  <c r="P107" i="2"/>
  <c r="O95" i="2"/>
  <c r="O101" i="2"/>
  <c r="P90" i="2"/>
  <c r="N95" i="2"/>
  <c r="P85" i="2"/>
  <c r="T81" i="2"/>
  <c r="M101" i="2"/>
  <c r="P135" i="3"/>
  <c r="L101" i="2"/>
  <c r="K95" i="2"/>
  <c r="O135" i="3"/>
  <c r="N74" i="3"/>
  <c r="L90" i="2"/>
  <c r="K102" i="2"/>
  <c r="J96" i="2"/>
  <c r="M74" i="3"/>
  <c r="H90" i="2"/>
  <c r="H91" i="2"/>
  <c r="L91" i="2"/>
  <c r="J90" i="2"/>
  <c r="I102" i="2"/>
  <c r="H84" i="2"/>
  <c r="K74" i="3"/>
  <c r="Q29" i="2"/>
  <c r="K87" i="3"/>
  <c r="P110" i="3"/>
  <c r="O110" i="3"/>
  <c r="M222" i="3"/>
  <c r="M120" i="3"/>
  <c r="M223" i="3"/>
  <c r="G107" i="2"/>
  <c r="F112" i="2"/>
  <c r="O122" i="15"/>
  <c r="N124" i="15"/>
  <c r="M77" i="2"/>
  <c r="P77" i="2"/>
  <c r="G80" i="2"/>
  <c r="F76" i="2"/>
  <c r="E198" i="3"/>
  <c r="H16" i="3"/>
  <c r="L14" i="5"/>
  <c r="F214" i="3" s="1"/>
  <c r="K18" i="5"/>
  <c r="L13" i="5"/>
  <c r="L8" i="5"/>
  <c r="F207" i="3" s="1"/>
  <c r="L12" i="5"/>
  <c r="L4" i="5"/>
  <c r="F192" i="3" s="1"/>
  <c r="M163" i="3"/>
  <c r="O154" i="3"/>
  <c r="N155" i="3"/>
  <c r="N156" i="3" s="1"/>
  <c r="F106" i="2"/>
  <c r="J135" i="3"/>
  <c r="J71" i="3"/>
  <c r="P120" i="3"/>
  <c r="Q121" i="3" s="1"/>
  <c r="P222" i="3"/>
  <c r="Q223" i="3" s="1"/>
  <c r="Q19" i="3"/>
  <c r="Q20" i="3" s="1"/>
  <c r="G27" i="3"/>
  <c r="G21" i="3"/>
  <c r="G25" i="3"/>
  <c r="M48" i="2"/>
  <c r="Q77" i="2"/>
  <c r="O77" i="2"/>
  <c r="F107" i="2"/>
  <c r="E112" i="2"/>
  <c r="E106" i="2"/>
  <c r="L16" i="5"/>
  <c r="L10" i="5"/>
  <c r="E109" i="2"/>
  <c r="E110" i="2"/>
  <c r="L155" i="3"/>
  <c r="L156" i="3" s="1"/>
  <c r="H170" i="3"/>
  <c r="H168" i="3"/>
  <c r="O117" i="3"/>
  <c r="O118" i="3" s="1"/>
  <c r="N117" i="3"/>
  <c r="N118" i="3" s="1"/>
  <c r="H117" i="3"/>
  <c r="H118" i="3" s="1"/>
  <c r="I117" i="3"/>
  <c r="I118" i="3" s="1"/>
  <c r="I46" i="3"/>
  <c r="G222" i="3"/>
  <c r="O46" i="3"/>
  <c r="K46" i="3"/>
  <c r="N46" i="3"/>
  <c r="T42" i="5"/>
  <c r="T41" i="5"/>
  <c r="T44" i="5"/>
  <c r="T32" i="5"/>
  <c r="K110" i="2"/>
  <c r="O110" i="2"/>
  <c r="M110" i="2"/>
  <c r="I158" i="3"/>
  <c r="J142" i="3"/>
  <c r="H146" i="3"/>
  <c r="H147" i="3" s="1"/>
  <c r="H145" i="3"/>
  <c r="H159" i="3" s="1"/>
  <c r="H158" i="3"/>
  <c r="I159" i="3"/>
  <c r="J155" i="3"/>
  <c r="J156" i="3" s="1"/>
  <c r="I169" i="3"/>
  <c r="F87" i="2"/>
  <c r="P88" i="2"/>
  <c r="Q88" i="2"/>
  <c r="E87" i="2"/>
  <c r="K117" i="3"/>
  <c r="K118" i="3" s="1"/>
  <c r="J117" i="3"/>
  <c r="J118" i="3" s="1"/>
  <c r="H174" i="3"/>
  <c r="I173" i="3"/>
  <c r="H46" i="3"/>
  <c r="G29" i="2"/>
  <c r="H127" i="3"/>
  <c r="G128" i="3"/>
  <c r="P28" i="2"/>
  <c r="M28" i="2"/>
  <c r="N28" i="2"/>
  <c r="L28" i="2"/>
  <c r="K28" i="2"/>
  <c r="Q28" i="2"/>
  <c r="G28" i="2"/>
  <c r="J28" i="2"/>
  <c r="G149" i="3"/>
  <c r="G168" i="3"/>
  <c r="F137" i="3"/>
  <c r="O33" i="2"/>
  <c r="P33" i="2"/>
  <c r="L33" i="2"/>
  <c r="N33" i="2"/>
  <c r="J33" i="2"/>
  <c r="Q33" i="2"/>
  <c r="K33" i="2"/>
  <c r="G34" i="2"/>
  <c r="F73" i="2"/>
  <c r="E73" i="2"/>
  <c r="K119" i="15"/>
  <c r="K126" i="15"/>
  <c r="L118" i="15"/>
  <c r="J109" i="15"/>
  <c r="J125" i="15"/>
  <c r="L124" i="15"/>
  <c r="J115" i="15"/>
  <c r="J130" i="15" s="1"/>
  <c r="K111" i="15"/>
  <c r="K120" i="15" l="1"/>
  <c r="K121" i="15"/>
  <c r="I174" i="3"/>
  <c r="J173" i="3"/>
  <c r="I170" i="3"/>
  <c r="J169" i="3"/>
  <c r="I168" i="3"/>
  <c r="J163" i="3"/>
  <c r="J157" i="3"/>
  <c r="H84" i="3"/>
  <c r="H141" i="3" s="1"/>
  <c r="H152" i="3"/>
  <c r="H161" i="3" s="1"/>
  <c r="H148" i="3"/>
  <c r="K222" i="3"/>
  <c r="K120" i="3"/>
  <c r="L163" i="3"/>
  <c r="L160" i="3"/>
  <c r="J136" i="3"/>
  <c r="J137" i="3"/>
  <c r="J138" i="3" s="1"/>
  <c r="N163" i="3"/>
  <c r="L16" i="3"/>
  <c r="J16" i="3"/>
  <c r="P16" i="3"/>
  <c r="O16" i="3"/>
  <c r="H6" i="3"/>
  <c r="H189" i="3" s="1"/>
  <c r="M16" i="3"/>
  <c r="N16" i="3"/>
  <c r="Q16" i="3"/>
  <c r="I16" i="3"/>
  <c r="K16" i="3"/>
  <c r="H198" i="3"/>
  <c r="L198" i="3"/>
  <c r="O198" i="3"/>
  <c r="Q198" i="3"/>
  <c r="N198" i="3"/>
  <c r="M198" i="3"/>
  <c r="P198" i="3"/>
  <c r="K198" i="3"/>
  <c r="O123" i="15"/>
  <c r="P122" i="15"/>
  <c r="O124" i="15"/>
  <c r="O204" i="3"/>
  <c r="O203" i="3" s="1"/>
  <c r="O111" i="3"/>
  <c r="O119" i="3" s="1"/>
  <c r="P136" i="3"/>
  <c r="P137" i="3" s="1"/>
  <c r="P138" i="3" s="1"/>
  <c r="J115" i="3"/>
  <c r="J195" i="3"/>
  <c r="O115" i="3"/>
  <c r="O194" i="3" s="1"/>
  <c r="O195" i="3"/>
  <c r="K115" i="3"/>
  <c r="K194" i="3" s="1"/>
  <c r="K195" i="3"/>
  <c r="H195" i="3"/>
  <c r="H115" i="3"/>
  <c r="Q72" i="3"/>
  <c r="P73" i="3"/>
  <c r="P74" i="3" s="1"/>
  <c r="N119" i="3"/>
  <c r="N194" i="3"/>
  <c r="M76" i="3"/>
  <c r="N75" i="3"/>
  <c r="K109" i="15"/>
  <c r="K112" i="15"/>
  <c r="L111" i="15"/>
  <c r="K116" i="15"/>
  <c r="L125" i="15"/>
  <c r="L119" i="15"/>
  <c r="L126" i="15"/>
  <c r="M118" i="15"/>
  <c r="K125" i="15"/>
  <c r="I127" i="3"/>
  <c r="H124" i="3"/>
  <c r="H129" i="3"/>
  <c r="H222" i="3"/>
  <c r="H120" i="3"/>
  <c r="H175" i="3"/>
  <c r="H176" i="3" s="1"/>
  <c r="H81" i="3" s="1"/>
  <c r="H82" i="3"/>
  <c r="J160" i="3"/>
  <c r="J143" i="3"/>
  <c r="J144" i="3" s="1"/>
  <c r="K142" i="3"/>
  <c r="J146" i="3"/>
  <c r="J147" i="3" s="1"/>
  <c r="N120" i="3"/>
  <c r="N121" i="3" s="1"/>
  <c r="N222" i="3"/>
  <c r="O120" i="3"/>
  <c r="P121" i="3" s="1"/>
  <c r="O222" i="3"/>
  <c r="P223" i="3" s="1"/>
  <c r="I120" i="3"/>
  <c r="J121" i="3" s="1"/>
  <c r="I222" i="3"/>
  <c r="J223" i="3" s="1"/>
  <c r="H80" i="3"/>
  <c r="H177" i="3"/>
  <c r="H171" i="3"/>
  <c r="N160" i="3"/>
  <c r="P154" i="3"/>
  <c r="O155" i="3"/>
  <c r="O156" i="3" s="1"/>
  <c r="O160" i="3"/>
  <c r="R19" i="3"/>
  <c r="P204" i="3"/>
  <c r="P203" i="3" s="1"/>
  <c r="P111" i="3"/>
  <c r="O136" i="3"/>
  <c r="O137" i="3" s="1"/>
  <c r="O138" i="3" s="1"/>
  <c r="L115" i="3"/>
  <c r="L195" i="3"/>
  <c r="Q115" i="3"/>
  <c r="Q194" i="3" s="1"/>
  <c r="Q195" i="3"/>
  <c r="M115" i="3"/>
  <c r="M195" i="3"/>
  <c r="I195" i="3"/>
  <c r="I115" i="3"/>
  <c r="P115" i="3"/>
  <c r="P194" i="3" s="1"/>
  <c r="P195" i="3"/>
  <c r="M121" i="3"/>
  <c r="K119" i="3"/>
  <c r="AB10" i="5"/>
  <c r="AB13" i="5"/>
  <c r="AB16" i="5"/>
  <c r="AB12" i="5"/>
  <c r="AB4" i="5"/>
  <c r="AB14" i="5"/>
  <c r="AB8" i="5"/>
  <c r="Q154" i="3" l="1"/>
  <c r="P155" i="3"/>
  <c r="P156" i="3" s="1"/>
  <c r="P160" i="3" s="1"/>
  <c r="O223" i="3"/>
  <c r="J152" i="3"/>
  <c r="J84" i="3"/>
  <c r="J148" i="3"/>
  <c r="J151" i="3"/>
  <c r="J145" i="3"/>
  <c r="I121" i="3"/>
  <c r="H121" i="3"/>
  <c r="L109" i="15"/>
  <c r="L112" i="15"/>
  <c r="M111" i="15"/>
  <c r="H194" i="3"/>
  <c r="H119" i="3"/>
  <c r="Q122" i="15"/>
  <c r="P124" i="15"/>
  <c r="P123" i="15"/>
  <c r="L121" i="3"/>
  <c r="K121" i="3"/>
  <c r="H149" i="3"/>
  <c r="H85" i="3"/>
  <c r="J159" i="3"/>
  <c r="J170" i="3"/>
  <c r="J171" i="3" s="1"/>
  <c r="J168" i="3"/>
  <c r="K169" i="3"/>
  <c r="J172" i="3"/>
  <c r="I175" i="3"/>
  <c r="I176" i="3" s="1"/>
  <c r="I81" i="3" s="1"/>
  <c r="I82" i="3"/>
  <c r="M119" i="3"/>
  <c r="M194" i="3"/>
  <c r="L194" i="3"/>
  <c r="L119" i="3"/>
  <c r="O86" i="3"/>
  <c r="Q119" i="3"/>
  <c r="I119" i="3"/>
  <c r="I194" i="3"/>
  <c r="P119" i="3"/>
  <c r="N223" i="3"/>
  <c r="S18" i="3"/>
  <c r="O163" i="3"/>
  <c r="N86" i="3"/>
  <c r="N159" i="3"/>
  <c r="O159" i="3"/>
  <c r="H182" i="3"/>
  <c r="H179" i="3"/>
  <c r="H172" i="3"/>
  <c r="O121" i="3"/>
  <c r="L142" i="3"/>
  <c r="K146" i="3"/>
  <c r="K147" i="3" s="1"/>
  <c r="K143" i="3"/>
  <c r="K144" i="3" s="1"/>
  <c r="J161" i="3"/>
  <c r="J86" i="3"/>
  <c r="I223" i="3"/>
  <c r="H130" i="3"/>
  <c r="H131" i="3" s="1"/>
  <c r="H78" i="3"/>
  <c r="I129" i="3"/>
  <c r="I124" i="3"/>
  <c r="J127" i="3"/>
  <c r="M126" i="15"/>
  <c r="N118" i="15"/>
  <c r="M119" i="15"/>
  <c r="L120" i="15"/>
  <c r="L121" i="15" s="1"/>
  <c r="L128" i="15"/>
  <c r="K113" i="15"/>
  <c r="K129" i="15" s="1"/>
  <c r="K114" i="15"/>
  <c r="K115" i="15" s="1"/>
  <c r="K130" i="15" s="1"/>
  <c r="O75" i="3"/>
  <c r="N76" i="3"/>
  <c r="Q73" i="3"/>
  <c r="Q74" i="3" s="1"/>
  <c r="Q135" i="3"/>
  <c r="J119" i="3"/>
  <c r="J194" i="3"/>
  <c r="I198" i="3"/>
  <c r="H199" i="3"/>
  <c r="H191" i="3"/>
  <c r="H190" i="3" s="1"/>
  <c r="H215" i="3"/>
  <c r="H216" i="3" s="1"/>
  <c r="H208" i="3"/>
  <c r="H209" i="3" s="1"/>
  <c r="H27" i="3" s="1"/>
  <c r="H28" i="3" s="1"/>
  <c r="L86" i="3"/>
  <c r="H223" i="3"/>
  <c r="L223" i="3"/>
  <c r="K223" i="3"/>
  <c r="J158" i="3"/>
  <c r="I177" i="3"/>
  <c r="I80" i="3"/>
  <c r="I171" i="3"/>
  <c r="J174" i="3"/>
  <c r="J175" i="3" s="1"/>
  <c r="J176" i="3"/>
  <c r="K173" i="3"/>
  <c r="K128" i="15"/>
  <c r="P86" i="3" l="1"/>
  <c r="P159" i="3"/>
  <c r="L87" i="3"/>
  <c r="H230" i="3"/>
  <c r="R230" i="3" s="1"/>
  <c r="H21" i="3"/>
  <c r="H22" i="3" s="1"/>
  <c r="O118" i="15"/>
  <c r="N119" i="15"/>
  <c r="N126" i="15"/>
  <c r="J124" i="3"/>
  <c r="K127" i="3"/>
  <c r="J129" i="3"/>
  <c r="I78" i="3"/>
  <c r="I130" i="3"/>
  <c r="I131" i="3" s="1"/>
  <c r="H202" i="3"/>
  <c r="H201" i="3" s="1"/>
  <c r="H205" i="3" s="1"/>
  <c r="H134" i="3"/>
  <c r="H132" i="3"/>
  <c r="H164" i="3" s="1"/>
  <c r="H185" i="3" s="1"/>
  <c r="H133" i="3"/>
  <c r="J87" i="3"/>
  <c r="J141" i="3"/>
  <c r="K148" i="3"/>
  <c r="K152" i="3"/>
  <c r="K161" i="3" s="1"/>
  <c r="K84" i="3"/>
  <c r="K141" i="3" s="1"/>
  <c r="O87" i="3"/>
  <c r="J79" i="3"/>
  <c r="J178" i="3"/>
  <c r="J177" i="3"/>
  <c r="J180" i="3" s="1"/>
  <c r="J80" i="3"/>
  <c r="M112" i="15"/>
  <c r="M109" i="15"/>
  <c r="N111" i="15"/>
  <c r="J82" i="3"/>
  <c r="J81" i="3"/>
  <c r="I179" i="3"/>
  <c r="I182" i="3"/>
  <c r="I172" i="3"/>
  <c r="J198" i="3"/>
  <c r="Q137" i="3"/>
  <c r="Q138" i="3" s="1"/>
  <c r="Q136" i="3"/>
  <c r="P75" i="3"/>
  <c r="O76" i="3"/>
  <c r="K174" i="3"/>
  <c r="K175" i="3" s="1"/>
  <c r="K176" i="3" s="1"/>
  <c r="L173" i="3"/>
  <c r="H219" i="3"/>
  <c r="H200" i="3"/>
  <c r="M121" i="15"/>
  <c r="M120" i="15"/>
  <c r="M128" i="15"/>
  <c r="M125" i="15"/>
  <c r="K145" i="3"/>
  <c r="K159" i="3" s="1"/>
  <c r="K151" i="3"/>
  <c r="K158" i="3"/>
  <c r="L143" i="3"/>
  <c r="L144" i="3" s="1"/>
  <c r="M142" i="3"/>
  <c r="L146" i="3"/>
  <c r="L147" i="3" s="1"/>
  <c r="H79" i="3"/>
  <c r="H178" i="3"/>
  <c r="H224" i="3"/>
  <c r="H225" i="3" s="1"/>
  <c r="H25" i="3" s="1"/>
  <c r="H26" i="3" s="1"/>
  <c r="H183" i="3"/>
  <c r="N87" i="3"/>
  <c r="L169" i="3"/>
  <c r="K168" i="3"/>
  <c r="K170" i="3"/>
  <c r="K171" i="3" s="1"/>
  <c r="J179" i="3"/>
  <c r="J182" i="3"/>
  <c r="Q123" i="15"/>
  <c r="R122" i="15"/>
  <c r="Q124" i="15"/>
  <c r="L114" i="15"/>
  <c r="L115" i="15" s="1"/>
  <c r="L130" i="15" s="1"/>
  <c r="L113" i="15"/>
  <c r="L129" i="15" s="1"/>
  <c r="J85" i="3"/>
  <c r="J149" i="3"/>
  <c r="P163" i="3"/>
  <c r="Q155" i="3"/>
  <c r="Q156" i="3" s="1"/>
  <c r="Q160" i="3"/>
  <c r="K82" i="3" l="1"/>
  <c r="K81" i="3"/>
  <c r="Q86" i="3"/>
  <c r="K182" i="3"/>
  <c r="K179" i="3"/>
  <c r="L168" i="3"/>
  <c r="M169" i="3"/>
  <c r="L170" i="3"/>
  <c r="L171" i="3" s="1"/>
  <c r="L172" i="3"/>
  <c r="H181" i="3"/>
  <c r="H180" i="3"/>
  <c r="L84" i="3"/>
  <c r="L141" i="3" s="1"/>
  <c r="L148" i="3"/>
  <c r="L152" i="3"/>
  <c r="L161" i="3" s="1"/>
  <c r="L145" i="3"/>
  <c r="L159" i="3" s="1"/>
  <c r="L151" i="3"/>
  <c r="L158" i="3"/>
  <c r="H23" i="3"/>
  <c r="H24" i="3" s="1"/>
  <c r="H206" i="3"/>
  <c r="L174" i="3"/>
  <c r="L175" i="3" s="1"/>
  <c r="L176" i="3"/>
  <c r="M173" i="3"/>
  <c r="Q75" i="3"/>
  <c r="Q76" i="3" s="1"/>
  <c r="P76" i="3"/>
  <c r="I178" i="3"/>
  <c r="I79" i="3"/>
  <c r="N112" i="15"/>
  <c r="O111" i="15"/>
  <c r="N109" i="15"/>
  <c r="M114" i="15"/>
  <c r="M115" i="15" s="1"/>
  <c r="M130" i="15" s="1"/>
  <c r="M113" i="15"/>
  <c r="M129" i="15" s="1"/>
  <c r="K85" i="3"/>
  <c r="K149" i="3"/>
  <c r="J78" i="3"/>
  <c r="J130" i="3"/>
  <c r="J131" i="3" s="1"/>
  <c r="N120" i="15"/>
  <c r="N128" i="15"/>
  <c r="N121" i="15"/>
  <c r="O119" i="15"/>
  <c r="O125" i="15"/>
  <c r="O126" i="15"/>
  <c r="P118" i="15"/>
  <c r="Q163" i="3"/>
  <c r="R123" i="15"/>
  <c r="S122" i="15"/>
  <c r="R124" i="15"/>
  <c r="J224" i="3"/>
  <c r="J225" i="3" s="1"/>
  <c r="J25" i="3" s="1"/>
  <c r="J26" i="3" s="1"/>
  <c r="J183" i="3"/>
  <c r="K172" i="3"/>
  <c r="N142" i="3"/>
  <c r="M146" i="3"/>
  <c r="M147" i="3" s="1"/>
  <c r="M143" i="3"/>
  <c r="M144" i="3" s="1"/>
  <c r="I224" i="3"/>
  <c r="I183" i="3"/>
  <c r="J181" i="3"/>
  <c r="H77" i="3"/>
  <c r="I202" i="3"/>
  <c r="I201" i="3" s="1"/>
  <c r="I132" i="3"/>
  <c r="I164" i="3" s="1"/>
  <c r="I185" i="3" s="1"/>
  <c r="I15" i="3" s="1"/>
  <c r="I6" i="3" s="1"/>
  <c r="I133" i="3"/>
  <c r="K129" i="3"/>
  <c r="L127" i="3"/>
  <c r="K124" i="3"/>
  <c r="N125" i="15"/>
  <c r="Q159" i="3"/>
  <c r="P87" i="3"/>
  <c r="K78" i="3" l="1"/>
  <c r="K130" i="3"/>
  <c r="K131" i="3" s="1"/>
  <c r="I19" i="3"/>
  <c r="I20" i="3" s="1"/>
  <c r="I189" i="3"/>
  <c r="I226" i="3"/>
  <c r="I225" i="3"/>
  <c r="I25" i="3" s="1"/>
  <c r="I26" i="3" s="1"/>
  <c r="M152" i="3"/>
  <c r="M161" i="3" s="1"/>
  <c r="M148" i="3"/>
  <c r="M84" i="3"/>
  <c r="M141" i="3" s="1"/>
  <c r="K178" i="3"/>
  <c r="K177" i="3"/>
  <c r="K180" i="3" s="1"/>
  <c r="K79" i="3"/>
  <c r="K80" i="3"/>
  <c r="S123" i="15"/>
  <c r="S124" i="15" s="1"/>
  <c r="Q118" i="15"/>
  <c r="P126" i="15"/>
  <c r="P119" i="15"/>
  <c r="O112" i="15"/>
  <c r="O109" i="15"/>
  <c r="P111" i="15"/>
  <c r="L82" i="3"/>
  <c r="L81" i="3"/>
  <c r="L85" i="3"/>
  <c r="L149" i="3"/>
  <c r="L79" i="3"/>
  <c r="L178" i="3"/>
  <c r="L80" i="3"/>
  <c r="L177" i="3"/>
  <c r="L180" i="3" s="1"/>
  <c r="N169" i="3"/>
  <c r="M168" i="3"/>
  <c r="M172" i="3"/>
  <c r="M170" i="3"/>
  <c r="M171" i="3" s="1"/>
  <c r="L124" i="3"/>
  <c r="L129" i="3"/>
  <c r="M127" i="3"/>
  <c r="I77" i="3"/>
  <c r="I134" i="3"/>
  <c r="M151" i="3"/>
  <c r="M145" i="3"/>
  <c r="M159" i="3" s="1"/>
  <c r="M158" i="3"/>
  <c r="O142" i="3"/>
  <c r="N143" i="3"/>
  <c r="N144" i="3" s="1"/>
  <c r="N146" i="3" s="1"/>
  <c r="N147" i="3" s="1"/>
  <c r="O128" i="15"/>
  <c r="O121" i="15"/>
  <c r="O120" i="15"/>
  <c r="J132" i="3"/>
  <c r="J164" i="3" s="1"/>
  <c r="J185" i="3" s="1"/>
  <c r="J15" i="3" s="1"/>
  <c r="J6" i="3" s="1"/>
  <c r="J202" i="3"/>
  <c r="J201" i="3" s="1"/>
  <c r="J133" i="3"/>
  <c r="N113" i="15"/>
  <c r="N129" i="15" s="1"/>
  <c r="N115" i="15"/>
  <c r="N130" i="15" s="1"/>
  <c r="N114" i="15"/>
  <c r="I181" i="3"/>
  <c r="I180" i="3"/>
  <c r="M174" i="3"/>
  <c r="M175" i="3" s="1"/>
  <c r="M176" i="3" s="1"/>
  <c r="N173" i="3"/>
  <c r="L182" i="3"/>
  <c r="L179" i="3"/>
  <c r="K224" i="3"/>
  <c r="K225" i="3" s="1"/>
  <c r="K25" i="3" s="1"/>
  <c r="K26" i="3" s="1"/>
  <c r="K183" i="3"/>
  <c r="Q87" i="3"/>
  <c r="M82" i="3" l="1"/>
  <c r="M81" i="3"/>
  <c r="M83" i="3" s="1"/>
  <c r="N148" i="3"/>
  <c r="N84" i="3"/>
  <c r="N141" i="3" s="1"/>
  <c r="N152" i="3"/>
  <c r="N161" i="3" s="1"/>
  <c r="N174" i="3"/>
  <c r="N175" i="3" s="1"/>
  <c r="N176" i="3" s="1"/>
  <c r="O173" i="3"/>
  <c r="J77" i="3"/>
  <c r="L183" i="3"/>
  <c r="L224" i="3"/>
  <c r="L225" i="3" s="1"/>
  <c r="L25" i="3" s="1"/>
  <c r="L26" i="3" s="1"/>
  <c r="L130" i="3"/>
  <c r="L131" i="3" s="1"/>
  <c r="L78" i="3"/>
  <c r="M182" i="3"/>
  <c r="M179" i="3"/>
  <c r="L181" i="3"/>
  <c r="L83" i="3"/>
  <c r="P109" i="15"/>
  <c r="Q111" i="15"/>
  <c r="P112" i="15"/>
  <c r="O115" i="15"/>
  <c r="O130" i="15" s="1"/>
  <c r="O114" i="15"/>
  <c r="O113" i="15"/>
  <c r="O129" i="15" s="1"/>
  <c r="Q119" i="15"/>
  <c r="Q126" i="15"/>
  <c r="R118" i="15"/>
  <c r="K181" i="3"/>
  <c r="M149" i="3"/>
  <c r="M85" i="3"/>
  <c r="I191" i="3"/>
  <c r="I190" i="3" s="1"/>
  <c r="I215" i="3"/>
  <c r="I216" i="3" s="1"/>
  <c r="I208" i="3"/>
  <c r="I209" i="3" s="1"/>
  <c r="I27" i="3" s="1"/>
  <c r="I28" i="3" s="1"/>
  <c r="I219" i="3"/>
  <c r="I199" i="3"/>
  <c r="K202" i="3"/>
  <c r="K201" i="3" s="1"/>
  <c r="K132" i="3"/>
  <c r="K164" i="3" s="1"/>
  <c r="K185" i="3" s="1"/>
  <c r="K15" i="3" s="1"/>
  <c r="K6" i="3" s="1"/>
  <c r="K133" i="3"/>
  <c r="J19" i="3"/>
  <c r="J20" i="3" s="1"/>
  <c r="J189" i="3"/>
  <c r="N151" i="3"/>
  <c r="N158" i="3"/>
  <c r="O143" i="3"/>
  <c r="O144" i="3" s="1"/>
  <c r="P142" i="3"/>
  <c r="O146" i="3"/>
  <c r="O147" i="3" s="1"/>
  <c r="J134" i="3"/>
  <c r="N127" i="3"/>
  <c r="M124" i="3"/>
  <c r="M129" i="3"/>
  <c r="M130" i="3" s="1"/>
  <c r="M131" i="3" s="1"/>
  <c r="M133" i="3" s="1"/>
  <c r="M77" i="3" s="1"/>
  <c r="M78" i="3" s="1"/>
  <c r="M80" i="3"/>
  <c r="M178" i="3"/>
  <c r="M79" i="3"/>
  <c r="M177" i="3"/>
  <c r="M180" i="3" s="1"/>
  <c r="N170" i="3"/>
  <c r="N171" i="3" s="1"/>
  <c r="O169" i="3"/>
  <c r="N172" i="3"/>
  <c r="N168" i="3"/>
  <c r="P128" i="15"/>
  <c r="P120" i="15"/>
  <c r="P121" i="15" s="1"/>
  <c r="P125" i="15"/>
  <c r="N82" i="3" l="1"/>
  <c r="N81" i="3"/>
  <c r="N83" i="3" s="1"/>
  <c r="O168" i="3"/>
  <c r="O170" i="3"/>
  <c r="O171" i="3" s="1"/>
  <c r="P169" i="3"/>
  <c r="M181" i="3"/>
  <c r="Q142" i="3"/>
  <c r="P143" i="3"/>
  <c r="P144" i="3" s="1"/>
  <c r="J215" i="3"/>
  <c r="J216" i="3" s="1"/>
  <c r="J191" i="3"/>
  <c r="J190" i="3" s="1"/>
  <c r="J208" i="3"/>
  <c r="J209" i="3" s="1"/>
  <c r="J27" i="3" s="1"/>
  <c r="J28" i="3" s="1"/>
  <c r="J199" i="3"/>
  <c r="K77" i="3"/>
  <c r="R111" i="15"/>
  <c r="Q112" i="15"/>
  <c r="Q109" i="15"/>
  <c r="K134" i="3"/>
  <c r="O174" i="3"/>
  <c r="O175" i="3" s="1"/>
  <c r="O176" i="3"/>
  <c r="P173" i="3"/>
  <c r="N80" i="3"/>
  <c r="N177" i="3"/>
  <c r="N178" i="3"/>
  <c r="N181" i="3" s="1"/>
  <c r="N79" i="3"/>
  <c r="N179" i="3"/>
  <c r="N182" i="3"/>
  <c r="N224" i="3" s="1"/>
  <c r="N225" i="3" s="1"/>
  <c r="N25" i="3" s="1"/>
  <c r="N26" i="3" s="1"/>
  <c r="M202" i="3"/>
  <c r="M201" i="3" s="1"/>
  <c r="M132" i="3"/>
  <c r="M164" i="3" s="1"/>
  <c r="M185" i="3" s="1"/>
  <c r="M15" i="3" s="1"/>
  <c r="M6" i="3" s="1"/>
  <c r="O127" i="3"/>
  <c r="N129" i="3"/>
  <c r="N130" i="3" s="1"/>
  <c r="N131" i="3" s="1"/>
  <c r="N124" i="3"/>
  <c r="O84" i="3"/>
  <c r="O141" i="3" s="1"/>
  <c r="O152" i="3"/>
  <c r="O161" i="3" s="1"/>
  <c r="O148" i="3"/>
  <c r="O151" i="3"/>
  <c r="O158" i="3"/>
  <c r="K19" i="3"/>
  <c r="K20" i="3" s="1"/>
  <c r="K189" i="3"/>
  <c r="I200" i="3"/>
  <c r="I205" i="3"/>
  <c r="I21" i="3"/>
  <c r="I22" i="3" s="1"/>
  <c r="I230" i="3"/>
  <c r="S118" i="15"/>
  <c r="R126" i="15"/>
  <c r="R119" i="15"/>
  <c r="Q125" i="15"/>
  <c r="Q121" i="15"/>
  <c r="Q120" i="15"/>
  <c r="Q128" i="15"/>
  <c r="P114" i="15"/>
  <c r="P115" i="15"/>
  <c r="P130" i="15" s="1"/>
  <c r="P113" i="15"/>
  <c r="P129" i="15" s="1"/>
  <c r="M183" i="3"/>
  <c r="M224" i="3"/>
  <c r="M225" i="3" s="1"/>
  <c r="M25" i="3" s="1"/>
  <c r="M26" i="3" s="1"/>
  <c r="L202" i="3"/>
  <c r="L201" i="3" s="1"/>
  <c r="L132" i="3"/>
  <c r="L164" i="3" s="1"/>
  <c r="L185" i="3" s="1"/>
  <c r="L15" i="3" s="1"/>
  <c r="L6" i="3" s="1"/>
  <c r="L133" i="3"/>
  <c r="N149" i="3"/>
  <c r="N85" i="3"/>
  <c r="R120" i="15" l="1"/>
  <c r="R121" i="15"/>
  <c r="S119" i="15"/>
  <c r="S125" i="15"/>
  <c r="S126" i="15"/>
  <c r="K191" i="3"/>
  <c r="K190" i="3" s="1"/>
  <c r="K215" i="3"/>
  <c r="K216" i="3" s="1"/>
  <c r="K208" i="3"/>
  <c r="K209" i="3" s="1"/>
  <c r="K27" i="3" s="1"/>
  <c r="K28" i="3" s="1"/>
  <c r="K199" i="3"/>
  <c r="O85" i="3"/>
  <c r="O149" i="3"/>
  <c r="N202" i="3"/>
  <c r="N201" i="3" s="1"/>
  <c r="N132" i="3"/>
  <c r="N164" i="3" s="1"/>
  <c r="N185" i="3" s="1"/>
  <c r="N15" i="3" s="1"/>
  <c r="N6" i="3" s="1"/>
  <c r="O124" i="3"/>
  <c r="O129" i="3"/>
  <c r="P127" i="3"/>
  <c r="O82" i="3"/>
  <c r="O81" i="3"/>
  <c r="O83" i="3" s="1"/>
  <c r="Q114" i="15"/>
  <c r="Q113" i="15"/>
  <c r="Q129" i="15" s="1"/>
  <c r="Q115" i="15"/>
  <c r="Q130" i="15" s="1"/>
  <c r="J200" i="3"/>
  <c r="J205" i="3"/>
  <c r="P151" i="3"/>
  <c r="P158" i="3"/>
  <c r="O182" i="3"/>
  <c r="O224" i="3" s="1"/>
  <c r="O225" i="3" s="1"/>
  <c r="O25" i="3" s="1"/>
  <c r="O26" i="3" s="1"/>
  <c r="O179" i="3"/>
  <c r="M134" i="3"/>
  <c r="L77" i="3"/>
  <c r="L19" i="3"/>
  <c r="L20" i="3" s="1"/>
  <c r="G7" i="3"/>
  <c r="L3" i="3"/>
  <c r="L189" i="3"/>
  <c r="R125" i="15"/>
  <c r="I23" i="3"/>
  <c r="I24" i="3" s="1"/>
  <c r="I206" i="3"/>
  <c r="N133" i="3"/>
  <c r="N77" i="3" s="1"/>
  <c r="N78" i="3" s="1"/>
  <c r="M19" i="3"/>
  <c r="M20" i="3" s="1"/>
  <c r="M189" i="3"/>
  <c r="G5" i="3"/>
  <c r="N180" i="3"/>
  <c r="Q173" i="3"/>
  <c r="P174" i="3"/>
  <c r="P175" i="3" s="1"/>
  <c r="P176" i="3" s="1"/>
  <c r="R109" i="15"/>
  <c r="S111" i="15"/>
  <c r="R112" i="15"/>
  <c r="L134" i="3"/>
  <c r="J219" i="3"/>
  <c r="J21" i="3"/>
  <c r="J22" i="3" s="1"/>
  <c r="J230" i="3"/>
  <c r="P146" i="3"/>
  <c r="P147" i="3" s="1"/>
  <c r="Q143" i="3"/>
  <c r="Q144" i="3" s="1"/>
  <c r="Q146" i="3"/>
  <c r="Q147" i="3" s="1"/>
  <c r="P168" i="3"/>
  <c r="P170" i="3"/>
  <c r="P171" i="3" s="1"/>
  <c r="Q169" i="3"/>
  <c r="O172" i="3"/>
  <c r="P82" i="3" l="1"/>
  <c r="P81" i="3"/>
  <c r="P83" i="3" s="1"/>
  <c r="P179" i="3"/>
  <c r="P182" i="3"/>
  <c r="P224" i="3" s="1"/>
  <c r="P225" i="3" s="1"/>
  <c r="P25" i="3" s="1"/>
  <c r="P26" i="3" s="1"/>
  <c r="P84" i="3"/>
  <c r="P141" i="3" s="1"/>
  <c r="P148" i="3"/>
  <c r="P152" i="3"/>
  <c r="P161" i="3" s="1"/>
  <c r="J23" i="3"/>
  <c r="J24" i="3" s="1"/>
  <c r="J206" i="3"/>
  <c r="O128" i="3"/>
  <c r="O130" i="3"/>
  <c r="O131" i="3" s="1"/>
  <c r="N19" i="3"/>
  <c r="N20" i="3" s="1"/>
  <c r="N189" i="3"/>
  <c r="K205" i="3"/>
  <c r="K200" i="3"/>
  <c r="K21" i="3"/>
  <c r="K22" i="3" s="1"/>
  <c r="K230" i="3"/>
  <c r="Q168" i="3"/>
  <c r="Q170" i="3"/>
  <c r="Q171" i="3" s="1"/>
  <c r="Q172" i="3"/>
  <c r="Q152" i="3"/>
  <c r="Q161" i="3" s="1"/>
  <c r="Q148" i="3"/>
  <c r="Q84" i="3"/>
  <c r="Q141" i="3" s="1"/>
  <c r="S112" i="15"/>
  <c r="S109" i="15"/>
  <c r="Q174" i="3"/>
  <c r="Q175" i="3" s="1"/>
  <c r="Q176" i="3" s="1"/>
  <c r="O178" i="3"/>
  <c r="O80" i="3"/>
  <c r="O177" i="3"/>
  <c r="O180" i="3" s="1"/>
  <c r="O79" i="3"/>
  <c r="P172" i="3"/>
  <c r="Q151" i="3"/>
  <c r="Q158" i="3"/>
  <c r="R114" i="15"/>
  <c r="R115" i="15"/>
  <c r="R130" i="15" s="1"/>
  <c r="R113" i="15"/>
  <c r="R129" i="15" s="1"/>
  <c r="M191" i="3"/>
  <c r="M190" i="3" s="1"/>
  <c r="M215" i="3"/>
  <c r="M216" i="3" s="1"/>
  <c r="M208" i="3"/>
  <c r="M209" i="3" s="1"/>
  <c r="M27" i="3" s="1"/>
  <c r="M28" i="3" s="1"/>
  <c r="M199" i="3"/>
  <c r="L191" i="3"/>
  <c r="L190" i="3" s="1"/>
  <c r="L215" i="3"/>
  <c r="L216" i="3" s="1"/>
  <c r="L208" i="3"/>
  <c r="L209" i="3" s="1"/>
  <c r="L27" i="3" s="1"/>
  <c r="L28" i="3" s="1"/>
  <c r="L219" i="3"/>
  <c r="L199" i="3"/>
  <c r="P129" i="3"/>
  <c r="Q127" i="3"/>
  <c r="P124" i="3"/>
  <c r="K219" i="3"/>
  <c r="S128" i="15"/>
  <c r="S121" i="15"/>
  <c r="S120" i="15"/>
  <c r="R128" i="15"/>
  <c r="Q82" i="3" l="1"/>
  <c r="Q81" i="3"/>
  <c r="Q83" i="3" s="1"/>
  <c r="P128" i="3"/>
  <c r="P130" i="3"/>
  <c r="P131" i="3" s="1"/>
  <c r="P80" i="3"/>
  <c r="P178" i="3"/>
  <c r="P79" i="3"/>
  <c r="P177" i="3"/>
  <c r="P180" i="3" s="1"/>
  <c r="O181" i="3"/>
  <c r="S115" i="15"/>
  <c r="S130" i="15" s="1"/>
  <c r="S114" i="15"/>
  <c r="S113" i="15"/>
  <c r="S129" i="15" s="1"/>
  <c r="Q85" i="3"/>
  <c r="Q149" i="3"/>
  <c r="Q80" i="3"/>
  <c r="Q177" i="3"/>
  <c r="Q180" i="3" s="1"/>
  <c r="Q178" i="3"/>
  <c r="Q79" i="3"/>
  <c r="P85" i="3"/>
  <c r="P149" i="3"/>
  <c r="M205" i="3"/>
  <c r="M200" i="3"/>
  <c r="M230" i="3"/>
  <c r="M21" i="3"/>
  <c r="Q129" i="3"/>
  <c r="Q124" i="3"/>
  <c r="L200" i="3"/>
  <c r="L205" i="3"/>
  <c r="L230" i="3"/>
  <c r="L21" i="3"/>
  <c r="L22" i="3" s="1"/>
  <c r="M219" i="3"/>
  <c r="Q182" i="3"/>
  <c r="Q224" i="3" s="1"/>
  <c r="Q225" i="3" s="1"/>
  <c r="Q25" i="3" s="1"/>
  <c r="Q26" i="3" s="1"/>
  <c r="Q179" i="3"/>
  <c r="K23" i="3"/>
  <c r="K24" i="3" s="1"/>
  <c r="K206" i="3"/>
  <c r="N215" i="3"/>
  <c r="N216" i="3" s="1"/>
  <c r="N191" i="3"/>
  <c r="N190" i="3" s="1"/>
  <c r="N208" i="3"/>
  <c r="N209" i="3" s="1"/>
  <c r="N27" i="3" s="1"/>
  <c r="N28" i="3" s="1"/>
  <c r="N219" i="3"/>
  <c r="N199" i="3"/>
  <c r="O202" i="3"/>
  <c r="O201" i="3" s="1"/>
  <c r="O132" i="3"/>
  <c r="O164" i="3" s="1"/>
  <c r="O185" i="3" s="1"/>
  <c r="O15" i="3" s="1"/>
  <c r="O6" i="3" s="1"/>
  <c r="O133" i="3"/>
  <c r="O77" i="3" s="1"/>
  <c r="O78" i="3" s="1"/>
  <c r="N21" i="3" l="1"/>
  <c r="N230" i="3"/>
  <c r="L23" i="3"/>
  <c r="L24" i="3" s="1"/>
  <c r="L206" i="3"/>
  <c r="M22" i="3"/>
  <c r="M29" i="3"/>
  <c r="M206" i="3"/>
  <c r="M23" i="3"/>
  <c r="M24" i="3" s="1"/>
  <c r="P181" i="3"/>
  <c r="P132" i="3"/>
  <c r="P164" i="3" s="1"/>
  <c r="P185" i="3" s="1"/>
  <c r="P15" i="3" s="1"/>
  <c r="P6" i="3" s="1"/>
  <c r="P202" i="3"/>
  <c r="P201" i="3" s="1"/>
  <c r="P133" i="3"/>
  <c r="P77" i="3" s="1"/>
  <c r="P78" i="3" s="1"/>
  <c r="O19" i="3"/>
  <c r="O20" i="3" s="1"/>
  <c r="O189" i="3"/>
  <c r="N200" i="3"/>
  <c r="N205" i="3"/>
  <c r="Q130" i="3"/>
  <c r="Q131" i="3" s="1"/>
  <c r="Q128" i="3"/>
  <c r="Q181" i="3"/>
  <c r="O208" i="3" l="1"/>
  <c r="O209" i="3" s="1"/>
  <c r="O27" i="3" s="1"/>
  <c r="O28" i="3" s="1"/>
  <c r="O215" i="3"/>
  <c r="O216" i="3" s="1"/>
  <c r="O191" i="3"/>
  <c r="O190" i="3" s="1"/>
  <c r="O199" i="3"/>
  <c r="P19" i="3"/>
  <c r="P20" i="3" s="1"/>
  <c r="P189" i="3"/>
  <c r="Q132" i="3"/>
  <c r="Q164" i="3" s="1"/>
  <c r="Q185" i="3" s="1"/>
  <c r="Q15" i="3" s="1"/>
  <c r="Q5" i="3" s="1"/>
  <c r="Q7" i="3" s="1"/>
  <c r="Q6" i="3" s="1"/>
  <c r="Q189" i="3" s="1"/>
  <c r="Q202" i="3"/>
  <c r="Q201" i="3" s="1"/>
  <c r="Q133" i="3"/>
  <c r="Q77" i="3" s="1"/>
  <c r="Q78" i="3" s="1"/>
  <c r="N23" i="3"/>
  <c r="N24" i="3" s="1"/>
  <c r="N206" i="3"/>
  <c r="N22" i="3"/>
  <c r="N29" i="3"/>
  <c r="Q191" i="3" l="1"/>
  <c r="Q190" i="3" s="1"/>
  <c r="Q215" i="3"/>
  <c r="Q216" i="3" s="1"/>
  <c r="Q208" i="3"/>
  <c r="Q209" i="3" s="1"/>
  <c r="Q27" i="3" s="1"/>
  <c r="Q28" i="3" s="1"/>
  <c r="Q199" i="3"/>
  <c r="O219" i="3"/>
  <c r="P215" i="3"/>
  <c r="P216" i="3" s="1"/>
  <c r="P191" i="3"/>
  <c r="P190" i="3" s="1"/>
  <c r="P208" i="3"/>
  <c r="P209" i="3" s="1"/>
  <c r="P27" i="3" s="1"/>
  <c r="P28" i="3" s="1"/>
  <c r="P199" i="3"/>
  <c r="O200" i="3"/>
  <c r="O205" i="3"/>
  <c r="O21" i="3"/>
  <c r="O230" i="3"/>
  <c r="O29" i="3" l="1"/>
  <c r="O22" i="3"/>
  <c r="O23" i="3"/>
  <c r="O24" i="3" s="1"/>
  <c r="O206" i="3"/>
  <c r="Q219" i="3"/>
  <c r="X26" i="5" s="1"/>
  <c r="AA18" i="5" s="1"/>
  <c r="AA20" i="5" s="1"/>
  <c r="AB20" i="5" s="1"/>
  <c r="R209" i="3" s="1"/>
  <c r="P205" i="3"/>
  <c r="P200" i="3"/>
  <c r="P21" i="3"/>
  <c r="P230" i="3"/>
  <c r="P219" i="3"/>
  <c r="Q205" i="3"/>
  <c r="Q200" i="3"/>
  <c r="Q21" i="3"/>
  <c r="Q230" i="3"/>
  <c r="Q22" i="3" l="1"/>
  <c r="Q29" i="3"/>
  <c r="Q23" i="3"/>
  <c r="Q24" i="3" s="1"/>
  <c r="Q206" i="3"/>
  <c r="P29" i="3"/>
  <c r="P22" i="3"/>
  <c r="P23" i="3"/>
  <c r="P24" i="3" s="1"/>
  <c r="P206" i="3"/>
</calcChain>
</file>

<file path=xl/comments1.xml><?xml version="1.0" encoding="utf-8"?>
<comments xmlns="http://schemas.openxmlformats.org/spreadsheetml/2006/main">
  <authors>
    <author>Ирина</author>
  </authors>
  <commentList>
    <comment ref="R209" authorId="0" shapeId="0">
      <text>
        <r>
          <rPr>
            <b/>
            <sz val="9"/>
            <color indexed="81"/>
            <rFont val="Tahoma"/>
            <family val="2"/>
            <charset val="204"/>
          </rPr>
          <t>Ирина:</t>
        </r>
        <r>
          <rPr>
            <sz val="9"/>
            <color indexed="81"/>
            <rFont val="Tahoma"/>
            <family val="2"/>
            <charset val="204"/>
          </rPr>
          <t xml:space="preserve">
изменить газ на эту величину</t>
        </r>
      </text>
    </comment>
  </commentList>
</comments>
</file>

<file path=xl/sharedStrings.xml><?xml version="1.0" encoding="utf-8"?>
<sst xmlns="http://schemas.openxmlformats.org/spreadsheetml/2006/main" count="1251" uniqueCount="645">
  <si>
    <t>В.1.1.</t>
  </si>
  <si>
    <t>В.3.1.</t>
  </si>
  <si>
    <t>В.5.1.</t>
  </si>
  <si>
    <t>В.7.1.</t>
  </si>
  <si>
    <t>БУ -бюджетные учреждения муниципального уровня</t>
  </si>
  <si>
    <t>Количество общественного транспорта МО, в отношении которых проведены мероприятия по энергосбережению и повышению энергетической эффективности, в том числе по замещению бензина, используемого транспортными средствами в качестве моторного топлива, природным газом.</t>
  </si>
  <si>
    <t>№</t>
  </si>
  <si>
    <t>Наименование показателей</t>
  </si>
  <si>
    <t>Ед. изм.</t>
  </si>
  <si>
    <t>Расчетная формула</t>
  </si>
  <si>
    <t>Значения целевых показателей</t>
  </si>
  <si>
    <t>Пояснения к расчету</t>
  </si>
  <si>
    <t>Группа А. Общие целевые показатели в области энергосбережения и повышения энергетической эффективности</t>
  </si>
  <si>
    <t>А.1.</t>
  </si>
  <si>
    <t>Динамика энергоемкости муниципального продукта муниципальных программ области энергосбережения и повышения энергетической эффективности</t>
  </si>
  <si>
    <t>%</t>
  </si>
  <si>
    <t>[(П2(n)/П1(n))/ (П2(2007)/П1(2007))]∙100</t>
  </si>
  <si>
    <t>Снижение  энергоемкости  на 40%  к 2020г. относительно уровня  2007г. согласно Указа Президента РФ от 04.06.2008. № 889</t>
  </si>
  <si>
    <t>А.2.</t>
  </si>
  <si>
    <t>Доля объемов ЭЭ, расчеты за которую осуществляются с использованием приборов учета (в части МКД - с использованием коллективных приборов учета), в общем объеме ЭЭ, потребляемой на территории МО</t>
  </si>
  <si>
    <t>(П.7/ П.3)∙100</t>
  </si>
  <si>
    <t>А.3.</t>
  </si>
  <si>
    <t>Объем ТЭ, потребляемой (используемой) в жилых домах МО (за исключением МКД)</t>
  </si>
  <si>
    <t>Расход ТЭ населением, без экономии</t>
  </si>
  <si>
    <t>Расход хвс населением, без экономии всего</t>
  </si>
  <si>
    <r>
      <t xml:space="preserve">Расход хвс населением, без экономии, </t>
    </r>
    <r>
      <rPr>
        <b/>
        <sz val="10"/>
        <rFont val="Arial"/>
        <family val="2"/>
        <charset val="204"/>
      </rPr>
      <t>частные</t>
    </r>
  </si>
  <si>
    <r>
      <t xml:space="preserve">Расход хвс населением, с экономией, </t>
    </r>
    <r>
      <rPr>
        <b/>
        <sz val="10"/>
        <rFont val="Arial"/>
        <family val="2"/>
        <charset val="204"/>
      </rPr>
      <t>частные</t>
    </r>
  </si>
  <si>
    <r>
      <t xml:space="preserve">Расход хвс населением </t>
    </r>
    <r>
      <rPr>
        <b/>
        <sz val="10"/>
        <rFont val="Arial"/>
        <family val="2"/>
        <charset val="204"/>
      </rPr>
      <t>МКД</t>
    </r>
    <r>
      <rPr>
        <sz val="10"/>
        <rFont val="Arial"/>
      </rPr>
      <t xml:space="preserve"> с учетом экономии</t>
    </r>
  </si>
  <si>
    <t>Доля объемов ТЭ, расчеты за которую осуществляются с использованием приборов учета (в части МКД - с использованием коллективных приборов учета), в общем объеме ТЭ, потребляемой на территории МО</t>
  </si>
  <si>
    <t>(П.8/ П.4)∙100</t>
  </si>
  <si>
    <t>А.4.</t>
  </si>
  <si>
    <t>Доля объемов воды, расчеты за которую осуществляются с использованием приборов учета (в части МКД - с использованием коллективных приборов учета), в общем объеме воды, потребляемой на территории МО</t>
  </si>
  <si>
    <t>(П.9/ П.5)∙100</t>
  </si>
  <si>
    <t>А.5.</t>
  </si>
  <si>
    <t>Доля объемов природного газа, расчеты за который осуществляются с использованием приборов учета (в части МКД - с использованием индивидуальных и общих приборов учета, в общем объеме природного газа, потребляемого на территории МО</t>
  </si>
  <si>
    <t>(П.10/ П.6)∙100</t>
  </si>
  <si>
    <t>А.6.</t>
  </si>
  <si>
    <t>Объем внебюджетных средств, используемых для финансирования мероприятий по энергосбережению и повышению энергетической эффективности, в общем объеме финансирования муниципальной программы</t>
  </si>
  <si>
    <r>
      <t xml:space="preserve">Объем природного газа, потребляемого (используемого) населением </t>
    </r>
    <r>
      <rPr>
        <b/>
        <sz val="10"/>
        <rFont val="Arial"/>
        <family val="2"/>
        <charset val="204"/>
      </rPr>
      <t>без МКД,  с экономией мероприятий по утеплению,</t>
    </r>
    <r>
      <rPr>
        <b/>
        <sz val="10"/>
        <color indexed="10"/>
        <rFont val="Arial"/>
        <family val="2"/>
        <charset val="204"/>
      </rPr>
      <t xml:space="preserve"> без перевода печного топлива в газ</t>
    </r>
  </si>
  <si>
    <r>
      <t xml:space="preserve">Объем природного газа, потребляемого (используемого) населением, </t>
    </r>
    <r>
      <rPr>
        <b/>
        <sz val="10"/>
        <color indexed="10"/>
        <rFont val="Arial"/>
        <family val="2"/>
        <charset val="204"/>
      </rPr>
      <t>без МКД, с экономией, без перевода в печное</t>
    </r>
  </si>
  <si>
    <r>
      <t xml:space="preserve">по приборам учета </t>
    </r>
    <r>
      <rPr>
        <b/>
        <sz val="10"/>
        <rFont val="Arial"/>
        <family val="2"/>
        <charset val="204"/>
      </rPr>
      <t>без МКД</t>
    </r>
    <r>
      <rPr>
        <b/>
        <sz val="10"/>
        <color indexed="12"/>
        <rFont val="Arial"/>
        <family val="2"/>
        <charset val="204"/>
      </rPr>
      <t xml:space="preserve"> с переводом печного</t>
    </r>
  </si>
  <si>
    <r>
      <t xml:space="preserve">Объем природного газа, потребляемого (используемого) населением, </t>
    </r>
    <r>
      <rPr>
        <b/>
        <sz val="10"/>
        <color indexed="10"/>
        <rFont val="Arial"/>
        <family val="2"/>
        <charset val="204"/>
      </rPr>
      <t>без МКД, с экономией, с переводом в печное</t>
    </r>
  </si>
  <si>
    <r>
      <t xml:space="preserve">по приборам учета </t>
    </r>
    <r>
      <rPr>
        <b/>
        <sz val="10"/>
        <rFont val="Arial"/>
        <family val="2"/>
        <charset val="204"/>
      </rPr>
      <t xml:space="preserve">без МКД </t>
    </r>
    <r>
      <rPr>
        <b/>
        <sz val="10"/>
        <color indexed="12"/>
        <rFont val="Arial"/>
        <family val="2"/>
        <charset val="204"/>
      </rPr>
      <t>без перевода печного</t>
    </r>
  </si>
  <si>
    <t>Объем природного газа, потребляемого (используемого) населением, без МКД, с экономией</t>
  </si>
  <si>
    <t>(П.18/ П.17)∙100</t>
  </si>
  <si>
    <t>А.7.</t>
  </si>
  <si>
    <t>Изменение объема производства энергетических ресурсов с использованием возобновляемых источников энергии и (или) вторичных энергетических ресурсов</t>
  </si>
  <si>
    <t>П.15.(n) - П.15.(2009)</t>
  </si>
  <si>
    <t>Изменение (динамика) рассчитывается при  n →2020г.</t>
  </si>
  <si>
    <t>А.8.</t>
  </si>
  <si>
    <t>Доля энергетических ресурсов, производимых с использованием возобновляемых источников энергии и (или) вторичных энергетических ресурсов, в общем объеме энергетических ресурсов, производимых на территории МО</t>
  </si>
  <si>
    <t>(П.15./ П.16.)∙100</t>
  </si>
  <si>
    <t>Группа B. Целевые показатели в области энергосбережения и повышения энергетической эффективности, отражающие экономию по отдельным видам энергетических ресурсов</t>
  </si>
  <si>
    <t>В.1.</t>
  </si>
  <si>
    <t>Экономия ЭЭ в натуральном выражении</t>
  </si>
  <si>
    <t>Прогноз экономии ЭЭ осуществляется при стабилизации МП на уровне 2007 г.</t>
  </si>
  <si>
    <t>В.2.</t>
  </si>
  <si>
    <t>Экономия ЭЭ  в стоимостном выражении</t>
  </si>
  <si>
    <t>В.1.∙ П.11.(2007)</t>
  </si>
  <si>
    <t>Прогноз экономии ЭЭ осуществляется в ценах 2007 г.</t>
  </si>
  <si>
    <t>В.3.</t>
  </si>
  <si>
    <t>Экономия ТЭ в натуральном выражении</t>
  </si>
  <si>
    <r>
      <t>Ехегодная</t>
    </r>
    <r>
      <rPr>
        <sz val="10"/>
        <rFont val="Arial"/>
        <family val="2"/>
        <charset val="204"/>
      </rPr>
      <t xml:space="preserve"> экономия по </t>
    </r>
    <r>
      <rPr>
        <b/>
        <sz val="10"/>
        <rFont val="Arial"/>
        <family val="2"/>
        <charset val="204"/>
      </rPr>
      <t>МКД</t>
    </r>
  </si>
  <si>
    <t>Прогноз экономии ТЭ осуществляется при стабилизации МП на уровне 2007 г.</t>
  </si>
  <si>
    <t>В.4.</t>
  </si>
  <si>
    <t>Экономия ТЭ  в стоимостном выражении</t>
  </si>
  <si>
    <t>В.3.∙ П.12.(2007)</t>
  </si>
  <si>
    <t>Прогноз экономии ТЭ осуществляется в ценах 2007 г.</t>
  </si>
  <si>
    <t>В.5.</t>
  </si>
  <si>
    <t>Экономия воды в натуральном выражении</t>
  </si>
  <si>
    <t>Экономия в т.у.т. в МКД</t>
  </si>
  <si>
    <r>
      <t xml:space="preserve">Объем природного газа, потребляемого (используемого) населением, </t>
    </r>
    <r>
      <rPr>
        <b/>
        <sz val="10"/>
        <color indexed="10"/>
        <rFont val="Arial"/>
        <family val="2"/>
        <charset val="204"/>
      </rPr>
      <t>с экономией</t>
    </r>
  </si>
  <si>
    <r>
      <t>Объем природного газа, потребляемого (используемого) населением</t>
    </r>
    <r>
      <rPr>
        <b/>
        <sz val="10"/>
        <color indexed="10"/>
        <rFont val="Arial"/>
        <family val="2"/>
        <charset val="204"/>
      </rPr>
      <t xml:space="preserve"> МКД, с экономией</t>
    </r>
  </si>
  <si>
    <r>
      <t xml:space="preserve">Объем природного газа, потребляемого (используемого) населением </t>
    </r>
    <r>
      <rPr>
        <b/>
        <sz val="10"/>
        <rFont val="Arial"/>
        <family val="2"/>
        <charset val="204"/>
      </rPr>
      <t>МКД без экономии</t>
    </r>
  </si>
  <si>
    <t>уд.расход по приборам</t>
  </si>
  <si>
    <t>лампы</t>
  </si>
  <si>
    <t>приборы и утепление стен и др. мероприятия</t>
  </si>
  <si>
    <t xml:space="preserve">Ежегодная экономия </t>
  </si>
  <si>
    <t>Прогноз экономии воды осуществляется при стабилизации МП на уровне 2007 г.</t>
  </si>
  <si>
    <t>В.6.</t>
  </si>
  <si>
    <t>Экономия воды в стоимостном выражении</t>
  </si>
  <si>
    <t>В.5.∙ П.13.(2007)</t>
  </si>
  <si>
    <t>Прогноз экономии воды осуществляется в ценах 2007 г.</t>
  </si>
  <si>
    <t>В.7.</t>
  </si>
  <si>
    <t>Экономия природного газа  в натуральном выражении</t>
  </si>
  <si>
    <t>Прогноз экономии газа осуществляется при стабилизации МП на уровне 2007 г.</t>
  </si>
  <si>
    <t>В.8.</t>
  </si>
  <si>
    <t>Экономия природного газа  в стоимостном выражении</t>
  </si>
  <si>
    <t>руб.</t>
  </si>
  <si>
    <t>В.7.∙ П.14.(2007)</t>
  </si>
  <si>
    <t>Прогноз экономии газа осуществляется в ценах 2007 г.</t>
  </si>
  <si>
    <t>Группа С. Целевые показатели в области энергосбережения и повышения энергетической эффективности в бюджетном секторе</t>
  </si>
  <si>
    <t>С.1.</t>
  </si>
  <si>
    <t xml:space="preserve">Уд.расход ТЭ БУ на 1 кв. метр общей площади, расчеты за которую осуществляются с использованием приборов учета </t>
  </si>
  <si>
    <t>Гкал/кв.м.</t>
  </si>
  <si>
    <t>П.19.(n)/ П.20.(n)</t>
  </si>
  <si>
    <t>С.2.</t>
  </si>
  <si>
    <t xml:space="preserve">Уд.расход ТЭ БУ на 1 кв. метр общей площади, расчеты за которую осуществляются с применением расчетных способов </t>
  </si>
  <si>
    <t>С.3</t>
  </si>
  <si>
    <t>Изменение уд.расхода ТЭ БУ, расчеты за которую осуществляются с использованием приборов учета на 1 кв.м. общей площади</t>
  </si>
  <si>
    <t>где n →2020г.</t>
  </si>
  <si>
    <t>С.4.</t>
  </si>
  <si>
    <t>Изменение уд.расхода ТЭ БУ, расчеты за которую осуществляются с применением расчетным способом на 1 кв.м. общей площади</t>
  </si>
  <si>
    <t>С.5.</t>
  </si>
  <si>
    <t>Изменение отношения уд.расхода ТЭ БУ, расчеты за которую осуществляются с применением расчетных способов, к уд.расходу ТЭ БУ, расчеты за которую осуществляются с использованием приборов учета</t>
  </si>
  <si>
    <t>-</t>
  </si>
  <si>
    <t>С.6.</t>
  </si>
  <si>
    <t>Уд.расход воды на снабжение БУ, расчеты за которую осуществляются с использованием приборов учета на 1 чел.</t>
  </si>
  <si>
    <t>куб.м./чел.</t>
  </si>
  <si>
    <t>П.23./ П.24.</t>
  </si>
  <si>
    <t>С.7.</t>
  </si>
  <si>
    <t>Уд.расход воды на обеспечение БУ, расчеты за которую осуществляются с применением расчетных способов на 1 чел.</t>
  </si>
  <si>
    <t>П.25/ П.26.</t>
  </si>
  <si>
    <t>С.8.</t>
  </si>
  <si>
    <t>Изменение уд.расхода воды на обеспечение БУ, расчеты за которую осуществляются с использованием приборов учета на 1 чел.</t>
  </si>
  <si>
    <t>С.6.(n) - C.6.(2009)</t>
  </si>
  <si>
    <t>С.9.</t>
  </si>
  <si>
    <t>Изменение уд.расхода воды на обеспечение БУ, расчеты за которую осуществляются с применением расчетных способов на 1 чел.</t>
  </si>
  <si>
    <t>С.7.(n) - C.7.(2009)</t>
  </si>
  <si>
    <t>С.10.</t>
  </si>
  <si>
    <t>Изменение отношения уд.расхода воды на обеспечение БУ, расчеты за которую осуществляются с применением расчетных способов, к уд.расходу воды на обеспечение БУ, расчеты за которую осуществляются с использованием приборов учета</t>
  </si>
  <si>
    <t>С.7(n)/С.6(n) - С.7(2009)/С.6(2009)</t>
  </si>
  <si>
    <t>С.11.</t>
  </si>
  <si>
    <t>Уд.расход ЭЭ на обеспечение БУ, расчеты за которую осуществляются с использованием приборов учета на 1 чел.</t>
  </si>
  <si>
    <t>Муниципальный продукт  (обобщающий показатель экономической деятельности муниципального образования, характеризующий процесс производства товаров и услуг для конечного использования).</t>
  </si>
  <si>
    <t>кВтч/чел</t>
  </si>
  <si>
    <t>С.12.</t>
  </si>
  <si>
    <t>Уд.расход ЭЭ на обеспечение БУ, расчеты за которую осуществляются с применением расчетных способов на 1 чел.</t>
  </si>
  <si>
    <t>С.13.</t>
  </si>
  <si>
    <t>Изменение уд.расхода ЭЭ на обеспечение БУ, расчеты за которую осуществляются с использованием приборов учета на 1 чел.</t>
  </si>
  <si>
    <t>С.11.(n) - C.11.(2009)</t>
  </si>
  <si>
    <t>С.14.</t>
  </si>
  <si>
    <t>Изменение уд.расхода ЭЭ на обеспечение БУ, расчеты за которую осуществляются с применением расчетных способов на 1 чел.</t>
  </si>
  <si>
    <t>С.12.(n) - C.12.(2009)</t>
  </si>
  <si>
    <t>С.15.</t>
  </si>
  <si>
    <t>Изменение отношения уд.расхода ЭЭ на обеспечение БУ, расчеты за которую осуществляются с применением расчетных способов, к уд.расходу ЭЭ на обеспечение БУ, расчеты за которую осуществляются с использованием приборов учета</t>
  </si>
  <si>
    <t>С.12(n)/С.11(n) - С.12(2009)/С.11(2009)</t>
  </si>
  <si>
    <t>С.16.</t>
  </si>
  <si>
    <t>Доля объемов ЭЭ, потребляемой БУ, расчеты за которую осуществляются с использованием приборов учета, в общем объеме ЭЭ, потребляемой БУ на территории МО</t>
  </si>
  <si>
    <t>(П.27./ П.27.+ П.29.)∙100</t>
  </si>
  <si>
    <t>С.17.</t>
  </si>
  <si>
    <t>Доля объемов ТЭ, потребляемой БУ, расчеты за которую осуществляются с использованием приборов учета, в общем объеме ТЭ, потребляемой БУ на территории МО</t>
  </si>
  <si>
    <t>П.19./( П.19.+ П.21.)∙100</t>
  </si>
  <si>
    <t>С.18.</t>
  </si>
  <si>
    <t>Доля объемов воды, потребляемой БУ, расчеты за которую осуществляются с использованием приборов учета, в общем объеме воды, потребляемой БУ на территории МО</t>
  </si>
  <si>
    <t>П.23./( П.23.+ П.25.)∙100</t>
  </si>
  <si>
    <t>С.19.</t>
  </si>
  <si>
    <t>Доля объемов природного газа, потребляемого БУ, расчеты за который осуществляются с использованием приборов учета, в общем объеме природного газа, потребляемого БУ на территории МО</t>
  </si>
  <si>
    <t>(П.32./ П.31.)∙100</t>
  </si>
  <si>
    <t>С.20.</t>
  </si>
  <si>
    <t xml:space="preserve">Доля расходов бюджета МО на обеспечение энергетическими ресурсами БУ </t>
  </si>
  <si>
    <t>С.20.1.</t>
  </si>
  <si>
    <t>для фактических условий</t>
  </si>
  <si>
    <t>П.34.(n)/ П.33.(n)</t>
  </si>
  <si>
    <t>Объем природного газа всего по приборам учета</t>
  </si>
  <si>
    <t xml:space="preserve">Площадь всех жилых домов, где расчеты за воду осуществляют с использованием всех приборов учета </t>
  </si>
  <si>
    <t xml:space="preserve">Площадь всех жилых домов, с водоснабжением </t>
  </si>
  <si>
    <t>где n - отчетный год,  (n+1) - последующий год</t>
  </si>
  <si>
    <t>С.20.2.</t>
  </si>
  <si>
    <t>для сопоставимых условий</t>
  </si>
  <si>
    <t>П.34.(n) / П.33.(2009)</t>
  </si>
  <si>
    <t>С.21.</t>
  </si>
  <si>
    <t>Динамика расходов бюджета МО на обеспечение энергетическими ресурсами БУ (для фактических и сопоставимых условий)</t>
  </si>
  <si>
    <t>С.21.1.</t>
  </si>
  <si>
    <t>[С.20.1.(n+1)/C.20.1.(n)] ∙100</t>
  </si>
  <si>
    <t>С.21.2.</t>
  </si>
  <si>
    <t>[С.20.2.(n)/C.20.2.(2009)] ∙100</t>
  </si>
  <si>
    <t>С.22.</t>
  </si>
  <si>
    <t>Доля расходов бюджета МО на предоставление субсидий организациям коммунального комплекса на приобретение топлива</t>
  </si>
  <si>
    <t>(П.35./ П.33.)∙100</t>
  </si>
  <si>
    <t>С.23.</t>
  </si>
  <si>
    <r>
      <t>Общие сведения для расчета целевых показателей</t>
    </r>
    <r>
      <rPr>
        <b/>
        <sz val="14"/>
        <color indexed="12"/>
        <rFont val="Times New Roman"/>
        <family val="1"/>
        <charset val="204"/>
      </rPr>
      <t xml:space="preserve"> для муниципальных </t>
    </r>
    <r>
      <rPr>
        <b/>
        <sz val="14"/>
        <rFont val="Times New Roman"/>
        <family val="1"/>
        <charset val="204"/>
      </rPr>
      <t>программ</t>
    </r>
  </si>
  <si>
    <t>Динамика расходов бюджета МО на предоставление субсидий организациям коммунального комплекса на приобретение топлива</t>
  </si>
  <si>
    <t>[С.22.(n)/C.22.(2009)] ∙100</t>
  </si>
  <si>
    <t>С.24.</t>
  </si>
  <si>
    <t>Доля БУ, финансируемых за счет бюджета МО, в общем объеме БУ, в отношении которых проведено обязательное энергетическое обследование</t>
  </si>
  <si>
    <t xml:space="preserve"> тыс.м3</t>
  </si>
  <si>
    <t>П.37.(n)/ П.36.(n) ∙100</t>
  </si>
  <si>
    <t>С.25.</t>
  </si>
  <si>
    <t>Число энергосервисных договоров, заключенных муниципальными заказчиками</t>
  </si>
  <si>
    <t>П.38.(n)</t>
  </si>
  <si>
    <t>С.26.</t>
  </si>
  <si>
    <t>Доля государственных, муниципальных заказчиков в общем объеме муниципальных заказчиков, которыми заключены энергосервисные договоры</t>
  </si>
  <si>
    <t>П.40(n)/ П.39(n) ∙100</t>
  </si>
  <si>
    <t>С.27.</t>
  </si>
  <si>
    <t xml:space="preserve">Доля товаров, работ, услуг, закупаемых для  муниципальных нужд в соответствии с требованиями энергетической эффективности, в общем объеме закупаемых товаров, работ, услуг для муниципальных нужд </t>
  </si>
  <si>
    <t>П.42(n)/ П.41(n) ∙100</t>
  </si>
  <si>
    <t>С.28.</t>
  </si>
  <si>
    <t>Приложение  1</t>
  </si>
  <si>
    <t>Удельные расходы бюджета МО на предоставление социальной поддержки гражданам по оплате жилого помещения и коммунальных услуг на 1 чел.</t>
  </si>
  <si>
    <t>тыс.руб./ чел.</t>
  </si>
  <si>
    <t>П.43(n)/ П.44(n)</t>
  </si>
  <si>
    <t>Группа D. Целевые показатели в области энергосбережения и повышения энергетической эффективности в жилищном фонде</t>
  </si>
  <si>
    <t>D.1.</t>
  </si>
  <si>
    <r>
      <t xml:space="preserve">Объем природного газа, потребляемого (используемого) </t>
    </r>
    <r>
      <rPr>
        <b/>
        <sz val="10"/>
        <color indexed="10"/>
        <rFont val="Arial"/>
        <family val="2"/>
        <charset val="204"/>
      </rPr>
      <t xml:space="preserve">всем </t>
    </r>
    <r>
      <rPr>
        <sz val="10"/>
        <color indexed="10"/>
        <rFont val="Arial"/>
        <family val="2"/>
        <charset val="204"/>
      </rPr>
      <t xml:space="preserve"> населением</t>
    </r>
    <r>
      <rPr>
        <b/>
        <sz val="10"/>
        <color indexed="10"/>
        <rFont val="Arial"/>
        <family val="2"/>
        <charset val="204"/>
      </rPr>
      <t xml:space="preserve">  с экономией</t>
    </r>
  </si>
  <si>
    <t>Доля объемов ЭЭ, потребляемой в жилых домах (за исключением МКД), расчеты за которую осуществляются с использованием приборов учета, в общем объеме ЭЭ, потребляемой в жилых домах (за исключением МКД) на территории МО</t>
  </si>
  <si>
    <t>(П.46(n)/ П.45(n))∙100</t>
  </si>
  <si>
    <t>D.2.</t>
  </si>
  <si>
    <t xml:space="preserve">Расход ТЭ населением по приборам учета, </t>
  </si>
  <si>
    <t>Доля объемов ЭЭ, потребляемой в МКД, расчеты за которую осуществляются с использованием коллективных (общедомовых) приборов учета, в общем объеме ЭЭ, потребляемой в МКД на территории МО</t>
  </si>
  <si>
    <t>(П.48(n)/ П.47(n))∙100</t>
  </si>
  <si>
    <t>D.3.</t>
  </si>
  <si>
    <t>Доля объемов ЭЭ, потребляемой в МКД, оплата которой осуществляется с использованием индивидуальных и общих (для коммунальной квартиры) приборов учета, в общем объеме ЭЭ, потребляемой (используемой) в МКД на территории МО</t>
  </si>
  <si>
    <t>(П.49(n)/ П.47(n))∙100</t>
  </si>
  <si>
    <t>D.4.</t>
  </si>
  <si>
    <t>Доля объемов ТЭ, потребляемой в жилых домах, расчеты за которую осуществляются с использованием приборов учета, в общем объеме ТЭ, потребляемой (используемой) в жилых домах на территории МО (за исключением МКД)</t>
  </si>
  <si>
    <t>(П.51(n)/ П.50(n))∙100</t>
  </si>
  <si>
    <t>D.5.</t>
  </si>
  <si>
    <t>Доля объемов ТЭ, потребляемой в  МКД, оплата которой осуществляется с использованием коллективных (общедомовых) приборов учета, в общем объеме ТЭ, потребляемой в МКД на территории МО</t>
  </si>
  <si>
    <t>(П.53(n)/ П.52(n))∙100</t>
  </si>
  <si>
    <t>D.6.</t>
  </si>
  <si>
    <t>Доля объемов воды, потребляемой в жилых домах (за исключением МКД), расчеты за которую осуществляются с использованием приборов учета, в общем объеме воды, потребляемой (используемой) в жилых домах (за исключением МКД) на территории МО</t>
  </si>
  <si>
    <t>(П.55(n)/ П.54(n))∙100</t>
  </si>
  <si>
    <t>D.7.</t>
  </si>
  <si>
    <t>Доля объемов воды, потребляемой (используемой) в МКД, расчеты за которую осуществляются с использованием коллективных (общедомовых) приборов учета, в общем объеме воды, потребляемой (используемой) в МКД на территории МО</t>
  </si>
  <si>
    <t>(П.57(n)/ П.56(n))∙100</t>
  </si>
  <si>
    <t>D.8.</t>
  </si>
  <si>
    <t>Доля объемов воды, потребляемой (используемой) в МКД, расчеты за которую осуществляются с использованием индивидуальных и общих (для коммунальной квартиры) приборов учета, в общем объеме воды, потребляемой (используемой) в МКД на территории МО</t>
  </si>
  <si>
    <t>(П.58(n)/ П.56(n))∙100</t>
  </si>
  <si>
    <t>D.9.</t>
  </si>
  <si>
    <t>Доля объемов природного газа, потребляемого (используемого) в жилых домах (за исключением МКД), расчеты за который осуществляются с использованием приборов учета, в общем объеме природного газа, потребляемого (используемого) в жилых домах (за исключением МКД) на территории МО</t>
  </si>
  <si>
    <t>(П.60(n)/ П.59(n))∙100</t>
  </si>
  <si>
    <t>D.10.</t>
  </si>
  <si>
    <t>Бензин, тонн</t>
  </si>
  <si>
    <t>дизельное топливо, т</t>
  </si>
  <si>
    <t>прочие виды нефтепродуктов</t>
  </si>
  <si>
    <t>Доля объемов природного газа, потребляемого (используемого) в МКД, расчеты за который осуществляются с использованием индивидуальных и общих (для коммунальной квартиры) приборов учета, в общем объеме природного газа, потребляемого (используемого) в МКД на территории МО</t>
  </si>
  <si>
    <t>(П.62(n)/ П.61(n))∙100</t>
  </si>
  <si>
    <t>D.11.</t>
  </si>
  <si>
    <t>Число жилых домов, в отношении которых проведено ЭО</t>
  </si>
  <si>
    <t>П.64(n)</t>
  </si>
  <si>
    <t>D.12.</t>
  </si>
  <si>
    <t>Доля жилых домов, в отношении которых проведено ЭО, в общем числе жилых домов</t>
  </si>
  <si>
    <t>(П.64(n)/ П.63(n))∙100</t>
  </si>
  <si>
    <t>D.13.</t>
  </si>
  <si>
    <r>
      <t>Экономия в т.у.т. без МКД к 2007,</t>
    </r>
    <r>
      <rPr>
        <b/>
        <u/>
        <sz val="10"/>
        <rFont val="Arial"/>
        <family val="2"/>
        <charset val="204"/>
      </rPr>
      <t xml:space="preserve"> без перевода печного</t>
    </r>
  </si>
  <si>
    <t>Уд.расход ТЭ в жилых домах, расчеты за которую осуществляются с использованием приборов учета (в части МКД - с использованием коллективных (общедомовых) приборов учета) (в расчете на 1 кв. метр общей площади)</t>
  </si>
  <si>
    <t>(П.51(n)+ П.53(n))/ П.65(n)</t>
  </si>
  <si>
    <t>D.14.</t>
  </si>
  <si>
    <t>Уд.расход ТЭ в жилых домах, расчеты за которую осуществляются с применением расчетных способов (нормативов потребления) (в расчете на 1 кв. метр общей площади)</t>
  </si>
  <si>
    <t>(П.50(n)- П.51(n))./ П.66(n)</t>
  </si>
  <si>
    <t>D.15.</t>
  </si>
  <si>
    <t>Изменение уд.расхода ТЭ в жилых домах, расчеты за которую осуществляются с использованием приборов учета (в части МКД - с использованием коллективных (общедомовых) приборов учета) (в расчете на 1 кв. метр общей площади)</t>
  </si>
  <si>
    <t>D.15.1</t>
  </si>
  <si>
    <t>D.13(n+1) - D.13.(n)</t>
  </si>
  <si>
    <t>D.15.2.</t>
  </si>
  <si>
    <t>D.13(n) - D.13(2009)</t>
  </si>
  <si>
    <t>D.16.</t>
  </si>
  <si>
    <t>Изменение уд.расхода ТЭ в жилых домах, расчеты за которую осуществляются с применением расчетных способов (нормативов потребления) (в расчете на 1 кв. метр общей площади)</t>
  </si>
  <si>
    <t>D.16.1.</t>
  </si>
  <si>
    <t>D.14.(n+1) - D.14.(n)</t>
  </si>
  <si>
    <t>D.16.2.</t>
  </si>
  <si>
    <t>D.14.(n) - D.14.(2009)</t>
  </si>
  <si>
    <t>D.17.</t>
  </si>
  <si>
    <t>литры</t>
  </si>
  <si>
    <t>тут</t>
  </si>
  <si>
    <t>тонн</t>
  </si>
  <si>
    <t xml:space="preserve">Изменение отношения уд.расхода ТЭ в жилых домах, расчеты за которую осуществляются с применением расчетных способов (нормативов потребления), к уд.расходу ТЭ в жилых домах, расчеты за которую осуществляются с использованием приборов учета </t>
  </si>
  <si>
    <t>D.17.1.</t>
  </si>
  <si>
    <t>D.14(n+1)/D.13(n+1) - D.14(n)/D.13(n)</t>
  </si>
  <si>
    <t>D.17.2.</t>
  </si>
  <si>
    <t>D.14(n)/D.13(n) - D.14(2009)/D.13(2009)</t>
  </si>
  <si>
    <t>D.18.</t>
  </si>
  <si>
    <t>годы</t>
  </si>
  <si>
    <t>холодная вода</t>
  </si>
  <si>
    <t>Общая экономия ПО ВСЕМ ДОМАМ ОТ 2007</t>
  </si>
  <si>
    <t>Уд.расход воды в жилых домах, расчеты за которую осуществляются с использованием приборов учета (в части МКД домов - с использованием коллективных (общедомовых) приборов учета) (в расчете на 1 кв. метр общей площади)</t>
  </si>
  <si>
    <t>куб.м./кв.м.</t>
  </si>
  <si>
    <t>(П.55(n)+ П.57(n))/ П.67(n)</t>
  </si>
  <si>
    <t>D.19.</t>
  </si>
  <si>
    <t>(П.54(n)- П.55(n))/ П.69(n)</t>
  </si>
  <si>
    <t>D.20.</t>
  </si>
  <si>
    <t>Изменение уд.расхода воды в жилых домах, расчеты за которую осуществляются с использованием приборов учета (в части МКД - с использованием коллективных (общедомовых) приборов учета) (в расчете на 1 кв. метр общей площади для фактических и сопоставимых условий)</t>
  </si>
  <si>
    <t>D.20.1.</t>
  </si>
  <si>
    <t>D.18.(n+1) - D.18.(n)</t>
  </si>
  <si>
    <t>D.20.2.</t>
  </si>
  <si>
    <t>D.18.(n) - D.18.(2009)</t>
  </si>
  <si>
    <t>D.21.</t>
  </si>
  <si>
    <t>Изменение уд.расхода воды в жилых домах, расчеты за которую осуществляются с применением расчетных способов (нормативов потребления) (в расчете на 1 кв. метр общей площади для фактических и сопоставимых условий)</t>
  </si>
  <si>
    <t>D.21.1.</t>
  </si>
  <si>
    <t>D.19.(n+1) - D.19.(n)</t>
  </si>
  <si>
    <t>D.21.2.</t>
  </si>
  <si>
    <t>D.19.(n) - D.19.(2009)</t>
  </si>
  <si>
    <t>D.22.</t>
  </si>
  <si>
    <t>Уд.расход воды в жилых домах, расчеты за которую осуществляются с применением расчетных способов (нормативов потребления) (в расчете на 1 кв. метр общей площади);, в том числе МКД</t>
  </si>
  <si>
    <t>МКД-многоквартирные  жилые дома</t>
  </si>
  <si>
    <t>Общее потребление  2007</t>
  </si>
  <si>
    <t>Общее потребление  2008</t>
  </si>
  <si>
    <t>Общее потребление   2009</t>
  </si>
  <si>
    <t>Изменение отношения уд.расхода воды в жилых домах, расчеты за которую осуществляются с применением расчетных способов (нормативов потребления), к уд.расходу воды в жилых домах, расчеты за которую осуществляются с использованием приборов учета (для фактических и сопоставимых условий)</t>
  </si>
  <si>
    <t>D.22.1.</t>
  </si>
  <si>
    <t>D.19(n+1)/D.18(n+1) - D.19(n)/D.18(n)</t>
  </si>
  <si>
    <t>D.22.2.</t>
  </si>
  <si>
    <t>D.19(n)/D.18(n) - D.19(2009)/D.18(2009)</t>
  </si>
  <si>
    <t>D.23.</t>
  </si>
  <si>
    <t>Уд.расход ЭЭ в жилых домах, расчеты за которую осуществляются с использованием приборов учета (в части МКД - с использованием коллективных (общедомовых) приборов учета) (в расчете на 1 кв. метр общей площади);</t>
  </si>
  <si>
    <t>кВтч/кв.м.</t>
  </si>
  <si>
    <t>(П.46(n)+ П.48(n))/ П.69(n)</t>
  </si>
  <si>
    <t>D.24.</t>
  </si>
  <si>
    <t>Уд.расход ЭЭ в жилых домах, расчеты за которую осуществляются с применением расчетных способов (нормативов потребления) (в расчете на 1 кв. метр общей площади);</t>
  </si>
  <si>
    <t>(П.45(n)- П.46(n))/ П.70(n)</t>
  </si>
  <si>
    <t>D.25.</t>
  </si>
  <si>
    <t>Изменение уд.расхода ЭЭ в жилых домах, расчеты за которую осуществляются с использованием приборов учета (в части многоквартирных домов - с использованием коллективных (общедомовых) приборов учета) (в расчете на 1 кв. метр общей площади для фактических и сопоставимых условий);</t>
  </si>
  <si>
    <t>D.25.1.</t>
  </si>
  <si>
    <t>D.23.(n+1) - D.23.(n)</t>
  </si>
  <si>
    <t>D.25.2.</t>
  </si>
  <si>
    <t>D.23.(n) - D.23.(2009)</t>
  </si>
  <si>
    <t>D.26.</t>
  </si>
  <si>
    <t>Изменение уд.расхода ЭЭ в жилых домах, расчеты за которую осуществляются с применением расчетных способов (нормативов потребления) (в расчете на 1 кв. метр общей площади для фактических условий)</t>
  </si>
  <si>
    <t>D.26.1.</t>
  </si>
  <si>
    <t>D.24.(n+1) - D.24.(n)</t>
  </si>
  <si>
    <t>D.26.2.</t>
  </si>
  <si>
    <t>D.24.(n) - D.24.(2009)</t>
  </si>
  <si>
    <t>D.27.</t>
  </si>
  <si>
    <t>Изменение отношения уд.расхода ЭЭ в жилых домах, расчеты за которую осуществляются с применением расчетных способов (нормативов потребления), к удельному расходу ЭЭ в жилых домах, расчеты за которую осуществляются с использованием приборов учета (для фактических  и сопоставимых условий)</t>
  </si>
  <si>
    <t>D.27.1.</t>
  </si>
  <si>
    <t>D.24(n+1)/D.23(n+1) - D.24(n)/D.23(n)</t>
  </si>
  <si>
    <t>D.27.2.</t>
  </si>
  <si>
    <t>D.24(n)/D.23(n) - D.24(2009)/D.23(2009)</t>
  </si>
  <si>
    <t>D.28.</t>
  </si>
  <si>
    <t>Уд.расход природного газа в жилых домах, расчеты за который осуществляются с использованием приборов учета (в части МКД - с использованием индивидуальных и общих (для коммунальной квартиры) приборов учета) (в расчете на 1 кв. метр общей площади)</t>
  </si>
  <si>
    <t>тыс.куб.м./кв.м.</t>
  </si>
  <si>
    <t>(П.60(n)+ П.62(n))/ П.71(n)</t>
  </si>
  <si>
    <t>D.29.</t>
  </si>
  <si>
    <t>Уд.расход природного газа в жилых домах, расчеты за который осуществляются с применением расчетных способов (нормативов потребления) (в расчете на 1 кв. метр общей площади)</t>
  </si>
  <si>
    <t>(П.59(n)- П.60(n))/ П.72(n)</t>
  </si>
  <si>
    <t>D.30.</t>
  </si>
  <si>
    <t>% от 2007</t>
  </si>
  <si>
    <t>Изменение уд.расхода природного газа в жилых домах, расчеты за который осуществляются с использованием приборов учета (в части МКД - с использованием индивидуальных и общих (для коммунальной квартиры) приборов учета) (в расчете на 1 кв. метр общей площади )</t>
  </si>
  <si>
    <t>D.30.1.</t>
  </si>
  <si>
    <t>D.28.(n+1) - D.28.(n)</t>
  </si>
  <si>
    <t>D.30.2.</t>
  </si>
  <si>
    <t>D.28.(n) - D.28.(2009)</t>
  </si>
  <si>
    <t>D.31.</t>
  </si>
  <si>
    <t>по приборам учета, всего</t>
  </si>
  <si>
    <t>% объема хвс по приборам учета</t>
  </si>
  <si>
    <t>Расход ХВС всего расчетным способом с учетом экономии</t>
  </si>
  <si>
    <t>Объем природного газа всего</t>
  </si>
  <si>
    <t>Экономия воды в натуральном выражении, тыс.м.куб</t>
  </si>
  <si>
    <t>Экономия тепловой энергии в натуральном выражении, тыс.Гкал</t>
  </si>
  <si>
    <t>Изменение уд.расхода природного газа в жилых домах, расчеты за который осуществляются с применением расчетных способов (нормативов потребления) (в расчете на 1 кв. метр общей площади для фактических и сопоставимых условий);</t>
  </si>
  <si>
    <t>D.31.1.</t>
  </si>
  <si>
    <t>D.29.(n+1) - D.29.(n)</t>
  </si>
  <si>
    <t>D.31.2.</t>
  </si>
  <si>
    <t>D.29.(n) - D.29.(2009)</t>
  </si>
  <si>
    <t>D.32.</t>
  </si>
  <si>
    <t xml:space="preserve">Изменение отношения уд.расхода природного газа в жилых домах, расчеты за который осуществляются с применением расчетных способов (нормативов потребления), к уд.расходу природного газа в жилых домах, расчеты за который осуществляются с использованием приборов учета </t>
  </si>
  <si>
    <t>D.32.1.</t>
  </si>
  <si>
    <t>D.29(n+1)/D.28(n+1) - D.29(n)/D.28(n)</t>
  </si>
  <si>
    <t>D.32.2.</t>
  </si>
  <si>
    <t>D.29(n)/D.28(n) - D.29(2009)/D.28(2009)</t>
  </si>
  <si>
    <t>Группа Е. Целевые показатели в области энергосбережения и повышения энергетической эффективности в системах коммунальной инфраструктуры</t>
  </si>
  <si>
    <t>Е.1.</t>
  </si>
  <si>
    <t>Изменение уд.расхода топлива на выработку ЭЭ тепловыми электростанциями</t>
  </si>
  <si>
    <t>г.у.т./кВтч</t>
  </si>
  <si>
    <t>П.73(n) - П.73(2009)</t>
  </si>
  <si>
    <t>1. Составляется прогноз по значению параметра до 2020г.                                         2. Изменение (динамика) рассчитывается при  n →2020г.</t>
  </si>
  <si>
    <t>Е.2.</t>
  </si>
  <si>
    <t>Изменение уд.расхода топлива на выработку ТЭ</t>
  </si>
  <si>
    <t>г.у.т./Гкал</t>
  </si>
  <si>
    <t>П.74(n) – П.74(2009)</t>
  </si>
  <si>
    <t>Е.3.</t>
  </si>
  <si>
    <t>Динамика изменения фактического объема потерь ЭЭ при ее передаче по распределительным сетям</t>
  </si>
  <si>
    <t>[П.75(n)/П.75(2009)] ∙100</t>
  </si>
  <si>
    <t>Е.4.</t>
  </si>
  <si>
    <t>Динамика изменения фактического объема потерь ТЭ при ее передаче</t>
  </si>
  <si>
    <t>[П.76(n)/П.76(2009)] ∙100</t>
  </si>
  <si>
    <t>Е.5.</t>
  </si>
  <si>
    <t>Динамика изменения фактического объема потерь воды при ее передаче</t>
  </si>
  <si>
    <t>[П.77(n)/П.77(2009)] ∙100</t>
  </si>
  <si>
    <t>Е.6.</t>
  </si>
  <si>
    <t>Динамика изменения объемов ЭЭ, используемой при передаче (транспортировке) воды</t>
  </si>
  <si>
    <t>[П.78(n)/П.78(2009)] ∙100</t>
  </si>
  <si>
    <t>Группа F Целевые показатели в области энергосбережения и повышения энергетической эффективности в транспортном комплексе</t>
  </si>
  <si>
    <t>F.1.</t>
  </si>
  <si>
    <t>бюджеты +население (аудит и приборы), с 2016 повтор аудита</t>
  </si>
  <si>
    <t xml:space="preserve">только население, аудит повтор с 2016 </t>
  </si>
  <si>
    <t>Динамика количества высокоэкономичных по использованию моторного топлива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МО;</t>
  </si>
  <si>
    <t>[П.79.(n)/ П.79.(2009)] ∙100</t>
  </si>
  <si>
    <t>1. Составляется график проведения мероприятий по энергоэффективности транспорта.                                2. Динамика рассчитывается при n →2020г.</t>
  </si>
  <si>
    <t>F.2.</t>
  </si>
  <si>
    <t>Общее количество БУ муниципального уровня</t>
  </si>
  <si>
    <t>Динамика количества общественного транспорта, регулирование тарифов на услуги по перевозке на котором осуществляется субъектом МО, в отношении которых проведены мероприятия по энергосбережению и повышению энергетической эффективности, в том числе по замещению бензина, используемого транспортными средствами в качестве моторного топлива, природным газом.</t>
  </si>
  <si>
    <t>Расходы  бюджета МО на предоставление социальной поддержки гражданам по оплате жилого помещения и коммунальных услуг (льгот)</t>
  </si>
  <si>
    <t>Расход теп.эн. по счетч. К 2007 году</t>
  </si>
  <si>
    <r>
      <t>Экономия</t>
    </r>
    <r>
      <rPr>
        <sz val="10"/>
        <rFont val="Arial"/>
      </rPr>
      <t xml:space="preserve"> хвс </t>
    </r>
    <r>
      <rPr>
        <b/>
        <sz val="10"/>
        <rFont val="Arial"/>
        <family val="2"/>
        <charset val="204"/>
      </rPr>
      <t>МКД (10%) от 2007г</t>
    </r>
  </si>
  <si>
    <r>
      <t>Экономия</t>
    </r>
    <r>
      <rPr>
        <sz val="10"/>
        <rFont val="Arial"/>
      </rPr>
      <t xml:space="preserve"> в нат пок ( 10%) к 2007г</t>
    </r>
  </si>
  <si>
    <t>[П.80.(n)/П.80.(2009)] ∙100</t>
  </si>
  <si>
    <t>к-т физического роста</t>
  </si>
  <si>
    <t>к-т индекса цен</t>
  </si>
  <si>
    <t>Энергоемкость</t>
  </si>
  <si>
    <t>Расход ТЭ БУ</t>
  </si>
  <si>
    <t>расход воды на БУ</t>
  </si>
  <si>
    <t>Расход ЭЭ на обеспечение БУ</t>
  </si>
  <si>
    <t>БЮДЖЕТЫ (Экономия)</t>
  </si>
  <si>
    <t>ЭКОНОМИЯ</t>
  </si>
  <si>
    <t>Экономия в нат пок</t>
  </si>
  <si>
    <t>к-т</t>
  </si>
  <si>
    <t>площадь МКД, всего, в т.ч.</t>
  </si>
  <si>
    <t>Экономия в т.у.т.</t>
  </si>
  <si>
    <r>
      <t xml:space="preserve">Расход </t>
    </r>
    <r>
      <rPr>
        <b/>
        <sz val="12"/>
        <color indexed="10"/>
        <rFont val="Times New Roman"/>
        <family val="1"/>
        <charset val="204"/>
      </rPr>
      <t xml:space="preserve">ТЭ </t>
    </r>
    <r>
      <rPr>
        <sz val="12"/>
        <rFont val="Times New Roman"/>
        <family val="1"/>
        <charset val="204"/>
      </rPr>
      <t>БУ</t>
    </r>
  </si>
  <si>
    <r>
      <t>Расход</t>
    </r>
    <r>
      <rPr>
        <b/>
        <sz val="12"/>
        <color indexed="10"/>
        <rFont val="Times New Roman"/>
        <family val="1"/>
        <charset val="204"/>
      </rPr>
      <t xml:space="preserve"> ЭЭ</t>
    </r>
    <r>
      <rPr>
        <sz val="12"/>
        <rFont val="Times New Roman"/>
        <family val="1"/>
        <charset val="204"/>
      </rPr>
      <t xml:space="preserve"> на обеспечение БУ</t>
    </r>
  </si>
  <si>
    <r>
      <t>Объем природного</t>
    </r>
    <r>
      <rPr>
        <b/>
        <sz val="12"/>
        <color indexed="10"/>
        <rFont val="Times New Roman"/>
        <family val="1"/>
        <charset val="204"/>
      </rPr>
      <t xml:space="preserve"> газа</t>
    </r>
    <r>
      <rPr>
        <sz val="12"/>
        <rFont val="Times New Roman"/>
        <family val="1"/>
        <charset val="204"/>
      </rPr>
      <t>, потребляемого (используемого) БУ МО</t>
    </r>
  </si>
  <si>
    <t>ИТОГО экономия в т.у.т.</t>
  </si>
  <si>
    <t>НАСЕЛЕНИЕ (Экономия)</t>
  </si>
  <si>
    <t>поставить реальное кол-во многоэт</t>
  </si>
  <si>
    <t>Электроемкость</t>
  </si>
  <si>
    <t>Теплоемкость</t>
  </si>
  <si>
    <t>Водоемкость</t>
  </si>
  <si>
    <t>Газоемкость</t>
  </si>
  <si>
    <t>водоемкость</t>
  </si>
  <si>
    <t>ВСЕГО экономия т.у.т.</t>
  </si>
  <si>
    <t>Расход ЭЭ на обеспечение населения</t>
  </si>
  <si>
    <t>Годы</t>
  </si>
  <si>
    <t>Экономия природного газа в натуральном выражении, тыс. куб.м</t>
  </si>
  <si>
    <t>Экономия электроэнергии в натуральном выражении, тыс. кВт*ч</t>
  </si>
  <si>
    <t>Расход ЭЭ населения по приборам учета</t>
  </si>
  <si>
    <t>Энергоресурсы</t>
  </si>
  <si>
    <t>в натуральном выражении</t>
  </si>
  <si>
    <t>в условном выражении</t>
  </si>
  <si>
    <t>стоимость</t>
  </si>
  <si>
    <t>тыс. руб.</t>
  </si>
  <si>
    <t xml:space="preserve">    %</t>
  </si>
  <si>
    <t>Электроэнергия, тыс. кВт, в том числе выработанная внутри области</t>
  </si>
  <si>
    <t>Газ природный,</t>
  </si>
  <si>
    <t xml:space="preserve"> млн. куб. м</t>
  </si>
  <si>
    <t xml:space="preserve">Газ сжиженный, </t>
  </si>
  <si>
    <t>тыс. тонн</t>
  </si>
  <si>
    <t>Мазут топочный, тыс. тонн</t>
  </si>
  <si>
    <t>Уголь каменный, тыс. тонн</t>
  </si>
  <si>
    <t>Дрова для отопления,</t>
  </si>
  <si>
    <t>тыс. м3</t>
  </si>
  <si>
    <t>Торф-брикет и торф кусковой,  тыс. тонн</t>
  </si>
  <si>
    <t>И Т О Г О:</t>
  </si>
  <si>
    <t>Объем природного газа, потребляемого (используемого) населением по приборам учета</t>
  </si>
  <si>
    <t>тыс.квтч</t>
  </si>
  <si>
    <t>тыс кВтч</t>
  </si>
  <si>
    <t>ЭЛЕКТРОЭНЕРГИЯ, тыс.кВтч, экономия по отн. К 2007 ВСЕГО</t>
  </si>
  <si>
    <t>ЭКОНОМИЯ ТЭР</t>
  </si>
  <si>
    <t>тыс. т.у.т.</t>
  </si>
  <si>
    <t>тыс т.у.т.</t>
  </si>
  <si>
    <t>тыс. т.у.т., в т.числе:</t>
  </si>
  <si>
    <t>население</t>
  </si>
  <si>
    <t>бюджет</t>
  </si>
  <si>
    <t>прочее</t>
  </si>
  <si>
    <t>ЭКОНОМИЯ уличное освещение</t>
  </si>
  <si>
    <t>Экономия в нат пок ( от 4 до 10%) по отношению к 2007г</t>
  </si>
  <si>
    <t>ЭКОНОМИЯ ВОДЫ население по приборам учета ежегодная</t>
  </si>
  <si>
    <t>ЭКОНОМИЯ ВОДЫ ежегодная (бюджеты) и население</t>
  </si>
  <si>
    <t>ПЕЧНОЕ ТОПЛИВО</t>
  </si>
  <si>
    <t>% от общих тут</t>
  </si>
  <si>
    <t>перевод в газ</t>
  </si>
  <si>
    <t>ПРОЧЕЕ ТОПЛИВО</t>
  </si>
  <si>
    <t>тыс тут</t>
  </si>
  <si>
    <t>Общее потребление   2019</t>
  </si>
  <si>
    <t>потребление прочего топлива в тут в 2019 году</t>
  </si>
  <si>
    <t>факт.потребл ээнергии на ул.освещ</t>
  </si>
  <si>
    <t>норматив</t>
  </si>
  <si>
    <t>% от общей экономии тут</t>
  </si>
  <si>
    <t>ТЕПЛОВАЯ ЭНЕРГИЯ</t>
  </si>
  <si>
    <t>Расход ТЭ населением, с учетом экономии (всей)</t>
  </si>
  <si>
    <t xml:space="preserve"> тыс.Гкал</t>
  </si>
  <si>
    <t>тыс Гкал</t>
  </si>
  <si>
    <t>ГАЗ</t>
  </si>
  <si>
    <t>ЭКОНОМИЯ ГАЗА</t>
  </si>
  <si>
    <t>тыс.м3</t>
  </si>
  <si>
    <t>ЭКОНОМИЯ ГАЗА в нат.показателях</t>
  </si>
  <si>
    <t>ЭКОНОМИЯ Т.Э. в натур. показателях</t>
  </si>
  <si>
    <t>тыс м3</t>
  </si>
  <si>
    <t>тыс.куб.м</t>
  </si>
  <si>
    <t>Общая площадь жилищного фонда</t>
  </si>
  <si>
    <r>
      <t xml:space="preserve">(данные берутся из </t>
    </r>
    <r>
      <rPr>
        <b/>
        <u/>
        <sz val="11"/>
        <rFont val="Times New Roman"/>
        <family val="1"/>
        <charset val="204"/>
      </rPr>
      <t>Приложения 2</t>
    </r>
    <r>
      <rPr>
        <b/>
        <sz val="11"/>
        <rFont val="Times New Roman"/>
        <family val="1"/>
        <charset val="204"/>
      </rPr>
      <t>)</t>
    </r>
  </si>
  <si>
    <t>тыс.тут экономия</t>
  </si>
  <si>
    <t>УЛИЧНОЕ ОСВЕЩЕНИЕ</t>
  </si>
  <si>
    <t>Общие сведения</t>
  </si>
  <si>
    <t>объем выпускаемой продукции</t>
  </si>
  <si>
    <t>Экономия в нат. Показателях от 2007</t>
  </si>
  <si>
    <t>печное и другие виды для отопления населения в  газ</t>
  </si>
  <si>
    <t>а</t>
  </si>
  <si>
    <t>49 расчеты</t>
  </si>
  <si>
    <t>Единица измерения</t>
  </si>
  <si>
    <t>года</t>
  </si>
  <si>
    <t>Муниципальный продукт(налоги в бюджет + прибыль организаций производящих продукцию, услуги и.д. + ФОТ)</t>
  </si>
  <si>
    <t>млрд.руб.</t>
  </si>
  <si>
    <t>Потребление ТЭР МО</t>
  </si>
  <si>
    <t>тыс.т.у.т.</t>
  </si>
  <si>
    <t>Объем потребления ЭЭ МО</t>
  </si>
  <si>
    <t>тыс. кВтч</t>
  </si>
  <si>
    <t>Объем потребления ТЭ МО</t>
  </si>
  <si>
    <t>тыс. Гкал</t>
  </si>
  <si>
    <t>Объем потребления воды МО</t>
  </si>
  <si>
    <t>тыс. куб.м.</t>
  </si>
  <si>
    <t>Объем потребления природного газа МО</t>
  </si>
  <si>
    <t>тыс. куб.м</t>
  </si>
  <si>
    <t>Объем потребления ЭЭ, расчеты за которую осуществляются с использованием приборов учета (в части МКД - с использованием коллективных приборов учета)</t>
  </si>
  <si>
    <t>тыс.кВтч</t>
  </si>
  <si>
    <t>Объем потребления ТЭ, расчеты за которую осуществляются с использованием приборов учета (в части МКД - с использованием коллективных приборов учета)</t>
  </si>
  <si>
    <t>тыс.Гкал</t>
  </si>
  <si>
    <t>Объем потребления воды, расчеты за которую осуществляются с использованием приборов учета (в части МКД - с использованием коллективных приборов учета)</t>
  </si>
  <si>
    <t>Объем потребления природного газа, расчеты за который осуществляются с использованием приборов учета(в части МКД - с использованием индивидуальных и общих приборов учета)</t>
  </si>
  <si>
    <t>Тариф на ЭЭ по МО</t>
  </si>
  <si>
    <t>руб./ кВтч</t>
  </si>
  <si>
    <t>Тариф на ТЭ по МО</t>
  </si>
  <si>
    <t>руб./ Гкал</t>
  </si>
  <si>
    <t>Тариф на воду по МО</t>
  </si>
  <si>
    <t>руб. /куб.м.</t>
  </si>
  <si>
    <t>Тариф на природный газ по МО</t>
  </si>
  <si>
    <t>руб./ тыс.куб.м.</t>
  </si>
  <si>
    <t>Объем производства энергетических ресурсов с использованием возобновляемых источников энергии и/или вторичных энергетических ресурсов</t>
  </si>
  <si>
    <t>т.у.т.</t>
  </si>
  <si>
    <t>Общий объем энергетических ресурсов, производимых на территории МО</t>
  </si>
  <si>
    <t>Общий объем финансирования мероприятий по энергосбережению и повышению энергетической эффективности</t>
  </si>
  <si>
    <t>Объем внебюджетных средств, используемых для финансирования мероприятий по энергосбережению и повышению энергетической эффективности</t>
  </si>
  <si>
    <t>Годы:</t>
  </si>
  <si>
    <t>Прогноз изменения муниципального продукта с учетом роста производства</t>
  </si>
  <si>
    <t>тыс. т.у.т./млрд.руб.</t>
  </si>
  <si>
    <t xml:space="preserve">Расход ТЭ БУ, расчеты за которую осуществляются с использованием приборов учета </t>
  </si>
  <si>
    <t>Гкал</t>
  </si>
  <si>
    <t xml:space="preserve">Площадь БУ, в которых расчеты за ТЭ осуществляют с использованием приборов учета </t>
  </si>
  <si>
    <t>кв.м.</t>
  </si>
  <si>
    <t>Расход ТЭ БУ, расчеты за которую осуществляются с применением расчетных способов</t>
  </si>
  <si>
    <t>Площадь БУ, в которых расчеты за ТЭ осуществляют с применением расчетных способов</t>
  </si>
  <si>
    <t xml:space="preserve">Расход воды на снабжение БУ, расчеты за которую осуществляются с использованием приборов учета </t>
  </si>
  <si>
    <t>куб.м</t>
  </si>
  <si>
    <t xml:space="preserve">Численность штатных сотрудников и контингента БУ, в которых расчеты за расход воды осуществляют с использованием приборов учета </t>
  </si>
  <si>
    <t>чел.</t>
  </si>
  <si>
    <t>Расход воды на снабжение БУ, расчеты за которую осуществляются с применением расчетных способов</t>
  </si>
  <si>
    <t>Численность штатных сотрудников и контингента БУ, в которых расчеты за расход воды осуществляют с применением расчетных способов</t>
  </si>
  <si>
    <t xml:space="preserve">Расход ЭЭ на обеспечение БУ, расчеты за которую осуществляются с использованием приборов учета </t>
  </si>
  <si>
    <t>кВтч</t>
  </si>
  <si>
    <t xml:space="preserve">Численность штатных сотрудников и контингента БУ, в которых расчеты за ЭЭ осуществляют с использованием приборов учета </t>
  </si>
  <si>
    <t>Расход ЭЭ на обеспечение БУ, расчеты за которую осуществляются с применением расчетных способов</t>
  </si>
  <si>
    <t>Численность штатных сотрудников и контингента БУ, в которых расчеты за ЭЭ осуществляют с применением расчетного способа</t>
  </si>
  <si>
    <t>Объем природного газа, потребляемого (используемого) БУ МО</t>
  </si>
  <si>
    <t>Объем природного газа, потребляемого (используемого) БУ, расчеты за который осуществляются с использованием приборов учета</t>
  </si>
  <si>
    <t>Бюджет МО</t>
  </si>
  <si>
    <t>тыс.руб.</t>
  </si>
  <si>
    <t>Расходы бюджета МО на обеспечение энергетическими ресурсами БУ</t>
  </si>
  <si>
    <t>Расходы МО на предоставление субсидий организациям коммунального комплекса на приобретение топлива</t>
  </si>
  <si>
    <t>Общее количество БУ</t>
  </si>
  <si>
    <t>шт.</t>
  </si>
  <si>
    <t>Количество БУ финансируемых за счет бюджета, в отношении которых проведено обязательное энергетическое обследование</t>
  </si>
  <si>
    <t>Число энергосервисных договоров (контрактов), заключенных муниципальными заказчиками</t>
  </si>
  <si>
    <t>Общее количество муниципальных заказчиков</t>
  </si>
  <si>
    <t>Количество муниципальных заказчиков, заключившие энергосервисные договоры (контракты)</t>
  </si>
  <si>
    <t>Объем товаров, работ, услуг, закупаемых для муниципальных нужд</t>
  </si>
  <si>
    <t>Объем товаров, работ, услуг, закупаемых для муниципальных нужд в соответствии с требованиями энергетической эффективности</t>
  </si>
  <si>
    <t>Расходы бюджета МО на предоставление социальной поддержки гражданам по оплате жилого помещения и коммунальных услуг (льгот)</t>
  </si>
  <si>
    <t xml:space="preserve">Количество граждан, которым предоставляются социальная поддержка по оплате жилого помещения и коммунальных услуг </t>
  </si>
  <si>
    <t>Объем ЭЭ, потребляемой (используемой) в жилых домах (за исключением многоквартирных домов) МО</t>
  </si>
  <si>
    <t xml:space="preserve">Объем ЭЭ, потребляемой (используемой) в жилых домах (за исключением многоквартирных домов) МО, расчеты за которую осуществляются с использованием приборов учета </t>
  </si>
  <si>
    <t>Объем ЭЭ, потребляемой (используемой) в многоквартирных домах МО</t>
  </si>
  <si>
    <t>Объем ЭЭ, потребляемой (используемой) в многоквартирных домах, расчеты за которую осуществляются с использованием коллективных (общедомовых) приборов учета</t>
  </si>
  <si>
    <t>Объем ЭЭ, потребляемой (используемой) в многоквартирных домах МО, расчеты за которую осуществляется с использованием индивидуальных и общих (для коммунальной квартиры) приборов учета</t>
  </si>
  <si>
    <t>Объем ТЭ, потребляемой (используемой) в жилых домах МО</t>
  </si>
  <si>
    <t>Объем ТЭ, потребляемой (используемой) в жилых домах МО, расчеты за которую осуществляются с использованием приборов учета</t>
  </si>
  <si>
    <t>Объем ТЭ, потребляемой (используемой) в многоквартирных домах МО</t>
  </si>
  <si>
    <t>Объем ТЭ, потребляемой (используемой) в многоквартирных домах МО, расчеты за которую осуществляется с использованием коллективных (общедомовых) приборов учета</t>
  </si>
  <si>
    <t>Объем воды, потребляемой (используемой) в жилых домах (за исключением многоквартирных домов) МО</t>
  </si>
  <si>
    <t>куб.м.</t>
  </si>
  <si>
    <r>
      <t>Экономия</t>
    </r>
    <r>
      <rPr>
        <sz val="10"/>
        <rFont val="Arial"/>
      </rPr>
      <t xml:space="preserve"> воды населением , </t>
    </r>
    <r>
      <rPr>
        <b/>
        <sz val="10"/>
        <rFont val="Arial"/>
        <family val="2"/>
        <charset val="204"/>
      </rPr>
      <t>частное</t>
    </r>
    <r>
      <rPr>
        <sz val="10"/>
        <rFont val="Arial"/>
      </rPr>
      <t xml:space="preserve"> 10%) от 2007г</t>
    </r>
  </si>
  <si>
    <t>Объем воды, потребляемой (используемой) в жилых домах (за исключением многоквартирных домов) МО, расчеты за которую осуществляются с использованием приборов учета</t>
  </si>
  <si>
    <t>Объем воды, потребляемой (используемой) в многоквартирных домах МО</t>
  </si>
  <si>
    <t>Объем воды, потребляемой (используемой) в многоквартирных домах МО, расчеты за которую осуществляются с использованием коллективных (общедомовых) приборов учета</t>
  </si>
  <si>
    <t>Ежегодная экономия</t>
  </si>
  <si>
    <t>тыс Гкал.</t>
  </si>
  <si>
    <t>ЭКОНОМИЯ Т.Э. по отнош. К 2007</t>
  </si>
  <si>
    <t>Экономия воды всего ежегодная</t>
  </si>
  <si>
    <t>Объем воды, потребляемой (используемой) в многоквартирных домах МО, расчеты за которую осуществляются с использованием индивидуальных и общих (для коммунальной квартиры) приборов учета</t>
  </si>
  <si>
    <t>Объем природного газа, потребляемого (используемого) в жилых домах (за исключением многоквартирных домов) МО</t>
  </si>
  <si>
    <t>тыс.куб.м.</t>
  </si>
  <si>
    <t>Объем природного газа, потребляемого (используемого) в жилых домах (за исключением многоквартирных домов) МО, расчеты за который осуществляются с использованием приборов учета</t>
  </si>
  <si>
    <t>Объем природного газа, потребляемого (используемого) в многоквартирных домах МО</t>
  </si>
  <si>
    <t>Объем природного газа, потребляемого (используемого) в многоквартирных домах МО, расчеты за который осуществляются с использованием индивидуальных и общих (для коммунальной квартиры) приборов учета</t>
  </si>
  <si>
    <t>Число жилых домов, МО</t>
  </si>
  <si>
    <t>Число жилых домов, в отношении которых проведено энергетическое обследование</t>
  </si>
  <si>
    <t xml:space="preserve">Площадь жилых домов, где расчеты за ТЭ осуществляют с использованием приборов учета (в части многоквартирных домов - с использованием коллективных (общедомовых) приборов учета) </t>
  </si>
  <si>
    <t xml:space="preserve">Площадь жилых домов, где расчеты за ТЭ осуществляют с применением расчетных способов (нормативов потребления) </t>
  </si>
  <si>
    <t xml:space="preserve">Площадь жилых домов, где расчеты за воду осуществляют с использованием приборов учета (в части многоквартирных домов - с использованием коллективных (общедомовых) приборов учета) </t>
  </si>
  <si>
    <t xml:space="preserve">Площадь жилых домов, где расчеты за воду осуществляют с применением расчетных способов (нормативов потребления) </t>
  </si>
  <si>
    <t xml:space="preserve">Площадь жилых домов, где расчеты за ЭЭ осуществляют с использованием приборов учета (в части многоквартирных домов - с использованием коллективных (общедомовых) приборов учета) </t>
  </si>
  <si>
    <t xml:space="preserve">Площадь жилых домов, где расчеты за ЭЭ осуществляют с применением расчетных способов (нормативов потребления) </t>
  </si>
  <si>
    <t xml:space="preserve">Площадь жилых домов, где расчеты за природный газ осуществляют с использованием приборов учета (в части многоквартирных домов - с использованием индивидуальных и общих (для коммунальной квартиры) приборов учета </t>
  </si>
  <si>
    <t xml:space="preserve">Площадь жилых домов, где расчеты за природный газ осуществляют с применением расчетных способов (нормативов потребления) </t>
  </si>
  <si>
    <t>Удельный расхода топлива на выработку ЭЭ тепловыми электростанциями</t>
  </si>
  <si>
    <t>т.у.т./кВтч</t>
  </si>
  <si>
    <t>Удельный расхода топлива на выработку ТЭ</t>
  </si>
  <si>
    <t>т.у.т./Гкал</t>
  </si>
  <si>
    <t>Объем потерь ЭЭ при ее передаче по распределительным сетям</t>
  </si>
  <si>
    <t>Объем потерь ТЭ при ее передаче</t>
  </si>
  <si>
    <t>Гкал/ч</t>
  </si>
  <si>
    <t>Объем потерь воды при ее передаче</t>
  </si>
  <si>
    <t>Объем ЭЭ, используемой при передаче (транспортировке) воды</t>
  </si>
  <si>
    <r>
      <t xml:space="preserve">Расход хвс населением, по приборам, </t>
    </r>
    <r>
      <rPr>
        <b/>
        <sz val="10"/>
        <rFont val="Arial"/>
        <family val="2"/>
        <charset val="204"/>
      </rPr>
      <t>частники</t>
    </r>
  </si>
  <si>
    <r>
      <t xml:space="preserve">Расход хвс населением,  </t>
    </r>
    <r>
      <rPr>
        <b/>
        <sz val="10"/>
        <rFont val="Arial"/>
        <family val="2"/>
        <charset val="204"/>
      </rPr>
      <t>МКД</t>
    </r>
  </si>
  <si>
    <t xml:space="preserve"> тыс. руб.</t>
  </si>
  <si>
    <t>тыс. м.куб</t>
  </si>
  <si>
    <t>Гкал/ кв.м.</t>
  </si>
  <si>
    <r>
      <t xml:space="preserve">Расход хвс населением, по приборам, </t>
    </r>
    <r>
      <rPr>
        <b/>
        <sz val="10"/>
        <rFont val="Arial"/>
        <family val="2"/>
        <charset val="204"/>
      </rPr>
      <t>МКД</t>
    </r>
  </si>
  <si>
    <t>частники</t>
  </si>
  <si>
    <t>МКД</t>
  </si>
  <si>
    <t>Количество высокоэкономичных по использованию моторного топлива (в том числе относящихся к объектам с высоким классом энергетической эффективности) транспортных средств МО</t>
  </si>
  <si>
    <t>Экономия воды населением всего с нарастающим</t>
  </si>
  <si>
    <t>Экономия воды ежегодная, по приборам учета</t>
  </si>
  <si>
    <t>ЭКОНОМИЯ ВОДЫ бюджеты к 2007</t>
  </si>
  <si>
    <t>т.куб.м</t>
  </si>
  <si>
    <t>Объем воды, потребляемой БУ</t>
  </si>
  <si>
    <t>Экономия воды к 2009 году</t>
  </si>
  <si>
    <r>
      <t xml:space="preserve">расход ХВС с учетом экономии, </t>
    </r>
    <r>
      <rPr>
        <b/>
        <sz val="10"/>
        <rFont val="Arial"/>
        <family val="2"/>
        <charset val="204"/>
      </rPr>
      <t>всего</t>
    </r>
  </si>
  <si>
    <r>
      <t xml:space="preserve">Экономия </t>
    </r>
    <r>
      <rPr>
        <sz val="10"/>
        <rFont val="Arial"/>
      </rPr>
      <t>по счетчикам (10-15%) к 2007г</t>
    </r>
  </si>
  <si>
    <r>
      <t>Экономия</t>
    </r>
    <r>
      <rPr>
        <sz val="10"/>
        <color indexed="14"/>
        <rFont val="Arial"/>
        <family val="2"/>
        <charset val="204"/>
      </rPr>
      <t xml:space="preserve"> </t>
    </r>
    <r>
      <rPr>
        <sz val="10"/>
        <rFont val="Arial"/>
      </rPr>
      <t xml:space="preserve">по счетчикам (10-15%)  и по мероприятиям </t>
    </r>
    <r>
      <rPr>
        <b/>
        <sz val="10"/>
        <rFont val="Arial"/>
        <family val="2"/>
        <charset val="204"/>
      </rPr>
      <t>без МКД ежегодная</t>
    </r>
  </si>
  <si>
    <r>
      <t xml:space="preserve">Экономия </t>
    </r>
    <r>
      <rPr>
        <sz val="10"/>
        <rFont val="Arial"/>
      </rPr>
      <t>по счетчикам (10-15%) к 2007г, с переводом печного топлива</t>
    </r>
  </si>
  <si>
    <t>обобщенный к-т инд.цен</t>
  </si>
  <si>
    <r>
      <t xml:space="preserve">с централиз </t>
    </r>
    <r>
      <rPr>
        <b/>
        <sz val="11"/>
        <rFont val="Times New Roman"/>
        <family val="1"/>
        <charset val="204"/>
      </rPr>
      <t>водоснабж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расчет</t>
    </r>
  </si>
  <si>
    <t>централиз.водоснабж</t>
  </si>
  <si>
    <t>централиз.водоснабж по приборам</t>
  </si>
  <si>
    <t>централиз.водоснабж. Расчеты</t>
  </si>
  <si>
    <t>колодцы</t>
  </si>
  <si>
    <t>расчет+колонки</t>
  </si>
  <si>
    <t>всего централизованное водоснабжение+колонки</t>
  </si>
  <si>
    <t>колонки по приборам</t>
  </si>
  <si>
    <t xml:space="preserve">колонки </t>
  </si>
  <si>
    <t>индивид</t>
  </si>
  <si>
    <r>
      <t xml:space="preserve">с централиз </t>
    </r>
    <r>
      <rPr>
        <b/>
        <sz val="11"/>
        <rFont val="Times New Roman"/>
        <family val="1"/>
        <charset val="204"/>
      </rPr>
      <t>водоснабж  индивид.прибо</t>
    </r>
    <r>
      <rPr>
        <sz val="11"/>
        <rFont val="Times New Roman"/>
        <family val="1"/>
        <charset val="204"/>
      </rPr>
      <t>р</t>
    </r>
  </si>
  <si>
    <r>
      <t xml:space="preserve">с централиз </t>
    </r>
    <r>
      <rPr>
        <b/>
        <sz val="11"/>
        <rFont val="Times New Roman"/>
        <family val="1"/>
        <charset val="204"/>
      </rPr>
      <t>водоснабж коллект прибо</t>
    </r>
    <r>
      <rPr>
        <sz val="11"/>
        <rFont val="Times New Roman"/>
        <family val="1"/>
        <charset val="204"/>
      </rPr>
      <t>р</t>
    </r>
  </si>
  <si>
    <t>приборы коллективные</t>
  </si>
  <si>
    <t>колонки по расчетам</t>
  </si>
  <si>
    <t>плюс 1500</t>
  </si>
  <si>
    <t>муниц.продукт , заданный МО</t>
  </si>
  <si>
    <t>с централиз водоснабжением</t>
  </si>
  <si>
    <t>№ п/п</t>
  </si>
  <si>
    <t>Удельный расход топлива на выработку ТЭ</t>
  </si>
  <si>
    <t>мкд</t>
  </si>
  <si>
    <t>Общие сведения для расчета целевых показателей  муниципальной программы энергосбережения города Новозыбкова</t>
  </si>
  <si>
    <t xml:space="preserve">Площадь жилых домов, где расчеты за природный газ осуществляют с исп. приборов учета (в части многоквартирных домов - с использованием индивидуальных и общих (для коммунальной квартиры) приборов учета </t>
  </si>
  <si>
    <t>Объем природного газа, потребляемого (исп.) в многоквартирных домах МО</t>
  </si>
  <si>
    <t>Объем природного газа, потребляемого (исп.) в жилых домах (за исключением многоквартирных домов) МО</t>
  </si>
  <si>
    <t>Объем воды, потребляемой (используемой) в многоквартирных домах МО, расчеты за которую осущ. с исп. коллективных (общедомовых) приборов учета</t>
  </si>
  <si>
    <t>Объем ТЭ, потребляемой (используемой) в многоквартирных домах МО, расчеты за которую осущ. с исп. коллективных (общедомовых) приборов учета</t>
  </si>
  <si>
    <t>Объем природного газа, потребляемого (используемого) в многоквартирных домах МО, расчеты за который осуществляются с исп. индивидуальных и общих (для коммунальной квартиры) приборов учета</t>
  </si>
  <si>
    <t>Объем ЭЭ, потребляемой (используемой) в многоквартирных домах, расчеты за которую осущ. с исп. коллективных (общедомовых) приборов учета</t>
  </si>
  <si>
    <t>Объем потребления воды, расчеты за которую осуществляются с использованием приборов учета (в части МКД - с исп. коллективных приборов учета)</t>
  </si>
  <si>
    <t>Объем потребления ТЭ, расчеты за которую осуществляются с использованием приборов учета (в части МКД - с исп. коллективных приборов учета)</t>
  </si>
  <si>
    <t>Объем потребления ЭЭ, расчеты за которую осуществляются с использованием приборов учета (в части МКД - с исп. коллективных приборов учета)</t>
  </si>
  <si>
    <t>24364,99,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</si>
</sst>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47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0"/>
      <color indexed="14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7"/>
      <name val="Arial"/>
      <family val="2"/>
      <charset val="204"/>
    </font>
    <font>
      <sz val="12"/>
      <color indexed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4"/>
      <name val="Arial"/>
      <family val="2"/>
      <charset val="204"/>
    </font>
    <font>
      <sz val="10"/>
      <color indexed="14"/>
      <name val="Arial"/>
      <family val="2"/>
      <charset val="204"/>
    </font>
    <font>
      <b/>
      <sz val="10"/>
      <color indexed="14"/>
      <name val="Arial"/>
      <family val="2"/>
      <charset val="204"/>
    </font>
    <font>
      <b/>
      <sz val="10"/>
      <color indexed="12"/>
      <name val="Arial"/>
      <family val="2"/>
      <charset val="204"/>
    </font>
    <font>
      <b/>
      <u/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indexed="10"/>
      <name val="Times New Roman"/>
      <family val="1"/>
      <charset val="204"/>
    </font>
    <font>
      <b/>
      <sz val="11"/>
      <color indexed="4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5"/>
      <name val="Times New Roman"/>
      <family val="1"/>
      <charset val="204"/>
    </font>
    <font>
      <sz val="11"/>
      <color indexed="14"/>
      <name val="Times New Roman"/>
      <family val="1"/>
      <charset val="204"/>
    </font>
    <font>
      <sz val="11"/>
      <color indexed="57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color indexed="53"/>
      <name val="Times New Roman"/>
      <family val="1"/>
      <charset val="204"/>
    </font>
    <font>
      <sz val="11"/>
      <color indexed="20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0"/>
      <name val="Arial Cyr"/>
    </font>
    <font>
      <sz val="11"/>
      <color rgb="FFFFFFFF"/>
      <name val="Times New Roman"/>
      <family val="1"/>
      <charset val="204"/>
    </font>
    <font>
      <b/>
      <sz val="11"/>
      <color rgb="FFFFFFFF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vertical="top" wrapText="1"/>
    </xf>
    <xf numFmtId="0" fontId="3" fillId="0" borderId="1" xfId="0" applyFont="1" applyBorder="1" applyAlignment="1"/>
    <xf numFmtId="0" fontId="3" fillId="0" borderId="7" xfId="0" applyFont="1" applyBorder="1" applyAlignment="1">
      <alignment horizontal="left"/>
    </xf>
    <xf numFmtId="0" fontId="2" fillId="2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64" fontId="0" fillId="0" borderId="1" xfId="0" applyNumberFormat="1" applyBorder="1"/>
    <xf numFmtId="2" fontId="4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8" xfId="0" applyBorder="1"/>
    <xf numFmtId="0" fontId="3" fillId="0" borderId="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 vertical="justify"/>
    </xf>
    <xf numFmtId="0" fontId="3" fillId="0" borderId="8" xfId="0" applyFont="1" applyBorder="1" applyAlignment="1">
      <alignment horizontal="left" vertical="justify"/>
    </xf>
    <xf numFmtId="2" fontId="8" fillId="0" borderId="8" xfId="0" applyNumberFormat="1" applyFont="1" applyBorder="1" applyAlignment="1">
      <alignment horizontal="left" vertical="justify"/>
    </xf>
    <xf numFmtId="0" fontId="3" fillId="2" borderId="2" xfId="0" applyFont="1" applyFill="1" applyBorder="1" applyAlignment="1">
      <alignment horizontal="left" vertical="justify"/>
    </xf>
    <xf numFmtId="0" fontId="3" fillId="0" borderId="2" xfId="0" applyFont="1" applyBorder="1" applyAlignment="1">
      <alignment horizontal="left" vertical="justify"/>
    </xf>
    <xf numFmtId="0" fontId="4" fillId="0" borderId="8" xfId="0" applyFont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11" xfId="0" applyBorder="1"/>
    <xf numFmtId="0" fontId="0" fillId="0" borderId="12" xfId="0" applyBorder="1"/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4" xfId="0" applyFont="1" applyBorder="1" applyAlignment="1">
      <alignment horizontal="left" vertical="top" wrapText="1"/>
    </xf>
    <xf numFmtId="0" fontId="0" fillId="0" borderId="25" xfId="0" applyBorder="1"/>
    <xf numFmtId="0" fontId="0" fillId="0" borderId="26" xfId="0" applyBorder="1"/>
    <xf numFmtId="165" fontId="7" fillId="0" borderId="26" xfId="0" applyNumberFormat="1" applyFont="1" applyBorder="1"/>
    <xf numFmtId="0" fontId="0" fillId="0" borderId="27" xfId="0" applyBorder="1"/>
    <xf numFmtId="0" fontId="0" fillId="0" borderId="28" xfId="0" applyBorder="1"/>
    <xf numFmtId="0" fontId="0" fillId="0" borderId="21" xfId="0" applyBorder="1"/>
    <xf numFmtId="0" fontId="0" fillId="0" borderId="22" xfId="0" applyBorder="1"/>
    <xf numFmtId="0" fontId="0" fillId="0" borderId="29" xfId="0" applyBorder="1"/>
    <xf numFmtId="0" fontId="0" fillId="0" borderId="30" xfId="0" applyBorder="1"/>
    <xf numFmtId="0" fontId="6" fillId="0" borderId="21" xfId="0" applyFont="1" applyBorder="1" applyAlignment="1">
      <alignment horizontal="left" vertical="center"/>
    </xf>
    <xf numFmtId="0" fontId="0" fillId="0" borderId="31" xfId="0" applyBorder="1"/>
    <xf numFmtId="0" fontId="0" fillId="0" borderId="26" xfId="0" applyBorder="1" applyAlignment="1">
      <alignment horizontal="left" vertical="center"/>
    </xf>
    <xf numFmtId="0" fontId="0" fillId="0" borderId="32" xfId="0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33" xfId="0" applyBorder="1"/>
    <xf numFmtId="0" fontId="0" fillId="0" borderId="2" xfId="0" applyBorder="1"/>
    <xf numFmtId="165" fontId="0" fillId="0" borderId="2" xfId="0" applyNumberFormat="1" applyBorder="1"/>
    <xf numFmtId="165" fontId="7" fillId="0" borderId="8" xfId="0" applyNumberFormat="1" applyFont="1" applyBorder="1"/>
    <xf numFmtId="0" fontId="0" fillId="0" borderId="2" xfId="0" applyBorder="1" applyAlignment="1">
      <alignment horizontal="left" vertical="center" wrapText="1"/>
    </xf>
    <xf numFmtId="166" fontId="0" fillId="0" borderId="2" xfId="0" applyNumberFormat="1" applyBorder="1"/>
    <xf numFmtId="2" fontId="0" fillId="0" borderId="2" xfId="0" applyNumberFormat="1" applyBorder="1"/>
    <xf numFmtId="2" fontId="0" fillId="0" borderId="21" xfId="0" applyNumberFormat="1" applyBorder="1"/>
    <xf numFmtId="2" fontId="0" fillId="0" borderId="0" xfId="0" applyNumberFormat="1"/>
    <xf numFmtId="0" fontId="0" fillId="0" borderId="0" xfId="0" applyAlignment="1">
      <alignment horizontal="left" indent="2"/>
    </xf>
    <xf numFmtId="0" fontId="9" fillId="0" borderId="0" xfId="0" applyFont="1" applyAlignment="1">
      <alignment horizontal="left" vertical="center"/>
    </xf>
    <xf numFmtId="0" fontId="9" fillId="0" borderId="0" xfId="0" applyFont="1"/>
    <xf numFmtId="165" fontId="9" fillId="0" borderId="0" xfId="0" applyNumberFormat="1" applyFont="1" applyAlignment="1">
      <alignment horizontal="left" indent="2"/>
    </xf>
    <xf numFmtId="2" fontId="0" fillId="0" borderId="1" xfId="0" applyNumberFormat="1" applyBorder="1"/>
    <xf numFmtId="0" fontId="0" fillId="0" borderId="34" xfId="0" applyBorder="1"/>
    <xf numFmtId="165" fontId="0" fillId="0" borderId="0" xfId="0" applyNumberFormat="1"/>
    <xf numFmtId="164" fontId="0" fillId="0" borderId="0" xfId="0" applyNumberFormat="1"/>
    <xf numFmtId="2" fontId="0" fillId="0" borderId="35" xfId="0" applyNumberFormat="1" applyFill="1" applyBorder="1"/>
    <xf numFmtId="0" fontId="3" fillId="4" borderId="2" xfId="0" applyFont="1" applyFill="1" applyBorder="1" applyAlignment="1">
      <alignment horizontal="left" vertical="justify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36" xfId="0" applyBorder="1"/>
    <xf numFmtId="0" fontId="0" fillId="0" borderId="23" xfId="0" applyBorder="1"/>
    <xf numFmtId="0" fontId="3" fillId="0" borderId="5" xfId="0" applyFont="1" applyFill="1" applyBorder="1" applyAlignment="1">
      <alignment horizontal="left"/>
    </xf>
    <xf numFmtId="165" fontId="8" fillId="0" borderId="8" xfId="0" applyNumberFormat="1" applyFont="1" applyBorder="1" applyAlignment="1">
      <alignment horizontal="center"/>
    </xf>
    <xf numFmtId="0" fontId="2" fillId="5" borderId="5" xfId="0" applyFont="1" applyFill="1" applyBorder="1" applyAlignment="1">
      <alignment horizontal="left" vertical="top" wrapText="1"/>
    </xf>
    <xf numFmtId="0" fontId="0" fillId="0" borderId="3" xfId="0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2" fontId="4" fillId="5" borderId="5" xfId="0" applyNumberFormat="1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165" fontId="0" fillId="0" borderId="1" xfId="0" applyNumberFormat="1" applyFill="1" applyBorder="1"/>
    <xf numFmtId="165" fontId="0" fillId="0" borderId="35" xfId="0" applyNumberFormat="1" applyFill="1" applyBorder="1"/>
    <xf numFmtId="0" fontId="0" fillId="0" borderId="1" xfId="0" applyFill="1" applyBorder="1"/>
    <xf numFmtId="0" fontId="10" fillId="0" borderId="1" xfId="0" applyFont="1" applyFill="1" applyBorder="1"/>
    <xf numFmtId="0" fontId="10" fillId="0" borderId="1" xfId="0" applyFont="1" applyBorder="1"/>
    <xf numFmtId="2" fontId="10" fillId="0" borderId="1" xfId="0" applyNumberFormat="1" applyFont="1" applyBorder="1"/>
    <xf numFmtId="0" fontId="4" fillId="0" borderId="0" xfId="0" applyFont="1" applyFill="1" applyBorder="1" applyAlignment="1">
      <alignment horizontal="center"/>
    </xf>
    <xf numFmtId="0" fontId="0" fillId="5" borderId="1" xfId="0" applyFill="1" applyBorder="1"/>
    <xf numFmtId="0" fontId="0" fillId="0" borderId="29" xfId="0" applyBorder="1" applyAlignment="1">
      <alignment horizontal="left" vertical="center"/>
    </xf>
    <xf numFmtId="164" fontId="0" fillId="0" borderId="37" xfId="0" applyNumberFormat="1" applyBorder="1"/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2" fontId="0" fillId="0" borderId="37" xfId="0" applyNumberFormat="1" applyBorder="1"/>
    <xf numFmtId="0" fontId="10" fillId="0" borderId="29" xfId="0" applyFont="1" applyBorder="1" applyAlignment="1">
      <alignment horizontal="left" vertical="center"/>
    </xf>
    <xf numFmtId="2" fontId="10" fillId="0" borderId="37" xfId="0" applyNumberFormat="1" applyFont="1" applyBorder="1"/>
    <xf numFmtId="2" fontId="0" fillId="0" borderId="8" xfId="0" applyNumberFormat="1" applyBorder="1"/>
    <xf numFmtId="0" fontId="12" fillId="0" borderId="29" xfId="0" applyFont="1" applyBorder="1" applyAlignment="1">
      <alignment horizontal="left" vertical="center"/>
    </xf>
    <xf numFmtId="0" fontId="12" fillId="0" borderId="1" xfId="0" applyFont="1" applyFill="1" applyBorder="1"/>
    <xf numFmtId="2" fontId="12" fillId="0" borderId="1" xfId="0" applyNumberFormat="1" applyFont="1" applyBorder="1"/>
    <xf numFmtId="0" fontId="0" fillId="0" borderId="35" xfId="0" applyBorder="1"/>
    <xf numFmtId="2" fontId="0" fillId="0" borderId="35" xfId="0" applyNumberFormat="1" applyBorder="1"/>
    <xf numFmtId="2" fontId="0" fillId="0" borderId="38" xfId="0" applyNumberFormat="1" applyBorder="1"/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/>
    <xf numFmtId="0" fontId="2" fillId="0" borderId="39" xfId="0" applyFont="1" applyBorder="1" applyAlignment="1">
      <alignment horizontal="left" vertical="top" wrapText="1"/>
    </xf>
    <xf numFmtId="0" fontId="3" fillId="0" borderId="21" xfId="0" applyFont="1" applyBorder="1" applyAlignment="1"/>
    <xf numFmtId="0" fontId="13" fillId="0" borderId="40" xfId="0" applyFont="1" applyBorder="1" applyAlignment="1">
      <alignment horizontal="left" vertical="top" wrapText="1"/>
    </xf>
    <xf numFmtId="2" fontId="3" fillId="0" borderId="0" xfId="0" applyNumberFormat="1" applyFont="1" applyBorder="1" applyAlignment="1"/>
    <xf numFmtId="0" fontId="14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4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" fontId="14" fillId="0" borderId="5" xfId="0" applyNumberFormat="1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166" fontId="14" fillId="0" borderId="5" xfId="0" applyNumberFormat="1" applyFont="1" applyBorder="1" applyAlignment="1">
      <alignment horizontal="left" vertical="center" wrapText="1"/>
    </xf>
    <xf numFmtId="2" fontId="14" fillId="0" borderId="5" xfId="0" applyNumberFormat="1" applyFont="1" applyBorder="1" applyAlignment="1">
      <alignment horizontal="left" vertical="center" wrapText="1"/>
    </xf>
    <xf numFmtId="165" fontId="14" fillId="0" borderId="5" xfId="0" applyNumberFormat="1" applyFont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4" fillId="7" borderId="5" xfId="0" applyFont="1" applyFill="1" applyBorder="1" applyAlignment="1">
      <alignment horizontal="left" vertical="center" wrapText="1"/>
    </xf>
    <xf numFmtId="2" fontId="14" fillId="7" borderId="5" xfId="0" applyNumberFormat="1" applyFont="1" applyFill="1" applyBorder="1" applyAlignment="1">
      <alignment horizontal="left" vertical="center" wrapText="1"/>
    </xf>
    <xf numFmtId="165" fontId="14" fillId="7" borderId="5" xfId="0" applyNumberFormat="1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166" fontId="15" fillId="0" borderId="0" xfId="0" applyNumberFormat="1" applyFont="1" applyAlignment="1">
      <alignment horizontal="left" vertical="center"/>
    </xf>
    <xf numFmtId="166" fontId="14" fillId="0" borderId="5" xfId="0" applyNumberFormat="1" applyFont="1" applyFill="1" applyBorder="1" applyAlignment="1">
      <alignment horizontal="left" vertical="center" wrapText="1"/>
    </xf>
    <xf numFmtId="166" fontId="14" fillId="7" borderId="5" xfId="0" applyNumberFormat="1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top" wrapText="1"/>
    </xf>
    <xf numFmtId="2" fontId="0" fillId="5" borderId="21" xfId="0" applyNumberFormat="1" applyFill="1" applyBorder="1"/>
    <xf numFmtId="0" fontId="0" fillId="5" borderId="35" xfId="0" applyFill="1" applyBorder="1"/>
    <xf numFmtId="165" fontId="3" fillId="0" borderId="5" xfId="0" applyNumberFormat="1" applyFont="1" applyFill="1" applyBorder="1" applyAlignment="1">
      <alignment horizontal="left"/>
    </xf>
    <xf numFmtId="2" fontId="9" fillId="0" borderId="35" xfId="0" applyNumberFormat="1" applyFont="1" applyBorder="1"/>
    <xf numFmtId="0" fontId="9" fillId="0" borderId="1" xfId="0" applyFont="1" applyBorder="1"/>
    <xf numFmtId="165" fontId="9" fillId="0" borderId="1" xfId="0" applyNumberFormat="1" applyFont="1" applyBorder="1" applyAlignment="1">
      <alignment horizontal="left" indent="2"/>
    </xf>
    <xf numFmtId="2" fontId="21" fillId="0" borderId="1" xfId="0" applyNumberFormat="1" applyFont="1" applyBorder="1"/>
    <xf numFmtId="2" fontId="21" fillId="5" borderId="1" xfId="0" applyNumberFormat="1" applyFont="1" applyFill="1" applyBorder="1"/>
    <xf numFmtId="2" fontId="3" fillId="0" borderId="5" xfId="0" applyNumberFormat="1" applyFont="1" applyFill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2" fillId="0" borderId="23" xfId="0" applyFont="1" applyBorder="1" applyAlignment="1">
      <alignment horizontal="left" vertical="top" wrapText="1"/>
    </xf>
    <xf numFmtId="2" fontId="21" fillId="5" borderId="37" xfId="0" applyNumberFormat="1" applyFont="1" applyFill="1" applyBorder="1"/>
    <xf numFmtId="0" fontId="0" fillId="5" borderId="8" xfId="0" applyFill="1" applyBorder="1"/>
    <xf numFmtId="2" fontId="21" fillId="5" borderId="8" xfId="0" applyNumberFormat="1" applyFont="1" applyFill="1" applyBorder="1"/>
    <xf numFmtId="2" fontId="21" fillId="5" borderId="34" xfId="0" applyNumberFormat="1" applyFont="1" applyFill="1" applyBorder="1"/>
    <xf numFmtId="0" fontId="0" fillId="0" borderId="3" xfId="0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5" borderId="2" xfId="0" applyFill="1" applyBorder="1"/>
    <xf numFmtId="0" fontId="0" fillId="5" borderId="26" xfId="0" applyFill="1" applyBorder="1"/>
    <xf numFmtId="165" fontId="0" fillId="5" borderId="26" xfId="0" applyNumberFormat="1" applyFill="1" applyBorder="1"/>
    <xf numFmtId="165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 applyAlignment="1">
      <alignment horizontal="left"/>
    </xf>
    <xf numFmtId="0" fontId="0" fillId="0" borderId="16" xfId="0" applyBorder="1" applyAlignment="1">
      <alignment horizontal="left" vertical="center" wrapText="1"/>
    </xf>
    <xf numFmtId="1" fontId="14" fillId="0" borderId="5" xfId="0" applyNumberFormat="1" applyFont="1" applyFill="1" applyBorder="1" applyAlignment="1">
      <alignment horizontal="left" vertical="center" wrapText="1"/>
    </xf>
    <xf numFmtId="2" fontId="14" fillId="0" borderId="5" xfId="0" applyNumberFormat="1" applyFont="1" applyFill="1" applyBorder="1" applyAlignment="1">
      <alignment horizontal="left" vertical="center" wrapText="1"/>
    </xf>
    <xf numFmtId="1" fontId="14" fillId="7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0" fontId="0" fillId="0" borderId="35" xfId="0" applyFill="1" applyBorder="1"/>
    <xf numFmtId="2" fontId="21" fillId="0" borderId="35" xfId="0" applyNumberFormat="1" applyFont="1" applyFill="1" applyBorder="1"/>
    <xf numFmtId="0" fontId="2" fillId="8" borderId="5" xfId="0" applyFont="1" applyFill="1" applyBorder="1" applyAlignment="1">
      <alignment horizontal="left" vertical="top" wrapText="1"/>
    </xf>
    <xf numFmtId="0" fontId="0" fillId="8" borderId="2" xfId="0" applyFill="1" applyBorder="1" applyAlignment="1">
      <alignment horizontal="left" vertical="center" wrapText="1"/>
    </xf>
    <xf numFmtId="0" fontId="0" fillId="8" borderId="2" xfId="0" applyFill="1" applyBorder="1"/>
    <xf numFmtId="2" fontId="21" fillId="8" borderId="2" xfId="0" applyNumberFormat="1" applyFont="1" applyFill="1" applyBorder="1"/>
    <xf numFmtId="0" fontId="20" fillId="0" borderId="5" xfId="0" applyFont="1" applyBorder="1" applyAlignment="1">
      <alignment horizontal="left" vertical="center" wrapText="1"/>
    </xf>
    <xf numFmtId="165" fontId="14" fillId="0" borderId="5" xfId="0" applyNumberFormat="1" applyFont="1" applyFill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164" fontId="14" fillId="7" borderId="5" xfId="0" applyNumberFormat="1" applyFont="1" applyFill="1" applyBorder="1" applyAlignment="1">
      <alignment horizontal="left" vertical="center" wrapText="1"/>
    </xf>
    <xf numFmtId="0" fontId="22" fillId="5" borderId="16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top" wrapText="1"/>
    </xf>
    <xf numFmtId="2" fontId="3" fillId="0" borderId="1" xfId="0" applyNumberFormat="1" applyFont="1" applyBorder="1" applyAlignment="1"/>
    <xf numFmtId="0" fontId="3" fillId="0" borderId="42" xfId="0" applyFont="1" applyBorder="1" applyAlignment="1"/>
    <xf numFmtId="0" fontId="13" fillId="0" borderId="43" xfId="0" applyFont="1" applyBorder="1" applyAlignment="1"/>
    <xf numFmtId="0" fontId="3" fillId="0" borderId="44" xfId="0" applyFont="1" applyBorder="1" applyAlignment="1"/>
    <xf numFmtId="0" fontId="3" fillId="0" borderId="45" xfId="0" applyFont="1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2" fontId="3" fillId="0" borderId="37" xfId="0" applyNumberFormat="1" applyFont="1" applyBorder="1" applyAlignment="1"/>
    <xf numFmtId="0" fontId="13" fillId="0" borderId="30" xfId="0" applyFont="1" applyBorder="1" applyAlignment="1"/>
    <xf numFmtId="0" fontId="13" fillId="0" borderId="8" xfId="0" applyFont="1" applyBorder="1" applyAlignment="1"/>
    <xf numFmtId="2" fontId="13" fillId="0" borderId="8" xfId="0" applyNumberFormat="1" applyFont="1" applyBorder="1" applyAlignment="1"/>
    <xf numFmtId="2" fontId="13" fillId="0" borderId="34" xfId="0" applyNumberFormat="1" applyFont="1" applyBorder="1" applyAlignment="1"/>
    <xf numFmtId="0" fontId="25" fillId="0" borderId="1" xfId="0" applyFont="1" applyBorder="1"/>
    <xf numFmtId="0" fontId="26" fillId="0" borderId="1" xfId="0" applyFont="1" applyBorder="1"/>
    <xf numFmtId="0" fontId="25" fillId="0" borderId="0" xfId="0" applyFont="1"/>
    <xf numFmtId="0" fontId="25" fillId="0" borderId="1" xfId="0" applyFont="1" applyBorder="1" applyAlignment="1">
      <alignment wrapText="1"/>
    </xf>
    <xf numFmtId="2" fontId="25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16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46" xfId="0" applyBorder="1"/>
    <xf numFmtId="0" fontId="0" fillId="0" borderId="47" xfId="0" applyBorder="1" applyAlignment="1">
      <alignment horizontal="left" vertical="center"/>
    </xf>
    <xf numFmtId="2" fontId="9" fillId="0" borderId="38" xfId="0" applyNumberFormat="1" applyFont="1" applyBorder="1"/>
    <xf numFmtId="165" fontId="7" fillId="0" borderId="35" xfId="0" applyNumberFormat="1" applyFont="1" applyBorder="1"/>
    <xf numFmtId="2" fontId="9" fillId="0" borderId="27" xfId="0" applyNumberFormat="1" applyFont="1" applyBorder="1"/>
    <xf numFmtId="2" fontId="9" fillId="0" borderId="48" xfId="0" applyNumberFormat="1" applyFont="1" applyBorder="1"/>
    <xf numFmtId="0" fontId="14" fillId="0" borderId="7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165" fontId="14" fillId="0" borderId="7" xfId="0" applyNumberFormat="1" applyFont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/>
    </xf>
    <xf numFmtId="2" fontId="4" fillId="5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14" fillId="0" borderId="6" xfId="0" applyNumberFormat="1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5" fillId="0" borderId="49" xfId="0" applyFont="1" applyBorder="1"/>
    <xf numFmtId="0" fontId="25" fillId="0" borderId="50" xfId="0" applyFont="1" applyBorder="1"/>
    <xf numFmtId="0" fontId="25" fillId="0" borderId="4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4" xfId="0" applyFont="1" applyBorder="1"/>
    <xf numFmtId="0" fontId="14" fillId="0" borderId="0" xfId="0" applyFont="1"/>
    <xf numFmtId="0" fontId="14" fillId="0" borderId="5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5" fillId="0" borderId="0" xfId="0" applyFont="1" applyFill="1"/>
    <xf numFmtId="0" fontId="2" fillId="0" borderId="0" xfId="0" applyFont="1" applyFill="1"/>
    <xf numFmtId="0" fontId="22" fillId="0" borderId="23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center"/>
    </xf>
    <xf numFmtId="0" fontId="2" fillId="8" borderId="0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0" fillId="0" borderId="46" xfId="0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22" fillId="5" borderId="35" xfId="0" applyFont="1" applyFill="1" applyBorder="1" applyAlignment="1">
      <alignment horizontal="left" vertical="center" wrapText="1"/>
    </xf>
    <xf numFmtId="165" fontId="0" fillId="5" borderId="52" xfId="0" applyNumberFormat="1" applyFill="1" applyBorder="1"/>
    <xf numFmtId="0" fontId="0" fillId="0" borderId="47" xfId="0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 wrapText="1"/>
    </xf>
    <xf numFmtId="0" fontId="9" fillId="0" borderId="2" xfId="0" applyFont="1" applyBorder="1"/>
    <xf numFmtId="2" fontId="9" fillId="0" borderId="2" xfId="0" applyNumberFormat="1" applyFont="1" applyBorder="1"/>
    <xf numFmtId="0" fontId="28" fillId="0" borderId="8" xfId="0" applyFont="1" applyBorder="1"/>
    <xf numFmtId="2" fontId="29" fillId="0" borderId="8" xfId="0" applyNumberFormat="1" applyFont="1" applyBorder="1"/>
    <xf numFmtId="2" fontId="29" fillId="0" borderId="34" xfId="0" applyNumberFormat="1" applyFont="1" applyBorder="1"/>
    <xf numFmtId="0" fontId="9" fillId="0" borderId="8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top" wrapText="1"/>
    </xf>
    <xf numFmtId="165" fontId="7" fillId="0" borderId="32" xfId="0" applyNumberFormat="1" applyFont="1" applyBorder="1"/>
    <xf numFmtId="0" fontId="2" fillId="5" borderId="1" xfId="0" applyFont="1" applyFill="1" applyBorder="1" applyAlignment="1">
      <alignment horizontal="left" vertical="top" wrapText="1"/>
    </xf>
    <xf numFmtId="165" fontId="7" fillId="5" borderId="1" xfId="0" applyNumberFormat="1" applyFont="1" applyFill="1" applyBorder="1"/>
    <xf numFmtId="0" fontId="2" fillId="5" borderId="2" xfId="0" applyFont="1" applyFill="1" applyBorder="1" applyAlignment="1">
      <alignment horizontal="left" vertical="top" wrapText="1"/>
    </xf>
    <xf numFmtId="165" fontId="7" fillId="5" borderId="2" xfId="0" applyNumberFormat="1" applyFont="1" applyFill="1" applyBorder="1"/>
    <xf numFmtId="2" fontId="12" fillId="0" borderId="37" xfId="0" applyNumberFormat="1" applyFont="1" applyBorder="1"/>
    <xf numFmtId="2" fontId="0" fillId="5" borderId="22" xfId="0" applyNumberFormat="1" applyFill="1" applyBorder="1"/>
    <xf numFmtId="0" fontId="0" fillId="0" borderId="35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8" borderId="1" xfId="0" applyFill="1" applyBorder="1"/>
    <xf numFmtId="2" fontId="21" fillId="8" borderId="1" xfId="0" applyNumberFormat="1" applyFont="1" applyFill="1" applyBorder="1"/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 wrapText="1"/>
    </xf>
    <xf numFmtId="2" fontId="21" fillId="0" borderId="1" xfId="0" applyNumberFormat="1" applyFont="1" applyFill="1" applyBorder="1"/>
    <xf numFmtId="0" fontId="6" fillId="8" borderId="1" xfId="0" applyFont="1" applyFill="1" applyBorder="1" applyAlignment="1">
      <alignment horizontal="left" vertical="center"/>
    </xf>
    <xf numFmtId="166" fontId="0" fillId="5" borderId="2" xfId="0" applyNumberFormat="1" applyFill="1" applyBorder="1"/>
    <xf numFmtId="0" fontId="0" fillId="0" borderId="16" xfId="0" applyBorder="1"/>
    <xf numFmtId="0" fontId="0" fillId="0" borderId="49" xfId="0" applyBorder="1" applyAlignment="1">
      <alignment horizontal="left" vertical="center" wrapText="1"/>
    </xf>
    <xf numFmtId="0" fontId="0" fillId="0" borderId="54" xfId="0" applyBorder="1"/>
    <xf numFmtId="0" fontId="0" fillId="0" borderId="1" xfId="0" applyBorder="1" applyAlignment="1">
      <alignment horizontal="left" vertical="center" wrapText="1"/>
    </xf>
    <xf numFmtId="0" fontId="6" fillId="6" borderId="51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left" vertical="center" wrapText="1"/>
    </xf>
    <xf numFmtId="0" fontId="0" fillId="6" borderId="0" xfId="0" applyFill="1"/>
    <xf numFmtId="0" fontId="0" fillId="2" borderId="35" xfId="0" applyFill="1" applyBorder="1"/>
    <xf numFmtId="165" fontId="6" fillId="2" borderId="35" xfId="0" applyNumberFormat="1" applyFont="1" applyFill="1" applyBorder="1"/>
    <xf numFmtId="0" fontId="0" fillId="0" borderId="2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6" fillId="0" borderId="21" xfId="0" applyFont="1" applyFill="1" applyBorder="1"/>
    <xf numFmtId="166" fontId="0" fillId="0" borderId="9" xfId="0" applyNumberFormat="1" applyBorder="1"/>
    <xf numFmtId="0" fontId="27" fillId="0" borderId="29" xfId="0" applyFont="1" applyBorder="1" applyAlignment="1">
      <alignment horizontal="left" vertical="center"/>
    </xf>
    <xf numFmtId="0" fontId="9" fillId="5" borderId="33" xfId="0" applyFont="1" applyFill="1" applyBorder="1" applyAlignment="1">
      <alignment horizontal="left" vertical="center"/>
    </xf>
    <xf numFmtId="165" fontId="0" fillId="5" borderId="32" xfId="0" applyNumberFormat="1" applyFill="1" applyBorder="1"/>
    <xf numFmtId="0" fontId="7" fillId="0" borderId="55" xfId="0" applyFont="1" applyFill="1" applyBorder="1" applyAlignment="1">
      <alignment horizontal="left" vertical="center" wrapText="1"/>
    </xf>
    <xf numFmtId="0" fontId="0" fillId="0" borderId="56" xfId="0" applyFill="1" applyBorder="1" applyAlignment="1">
      <alignment horizontal="left" vertical="center" wrapText="1"/>
    </xf>
    <xf numFmtId="165" fontId="0" fillId="0" borderId="8" xfId="0" applyNumberFormat="1" applyFill="1" applyBorder="1"/>
    <xf numFmtId="165" fontId="0" fillId="0" borderId="34" xfId="0" applyNumberFormat="1" applyFill="1" applyBorder="1"/>
    <xf numFmtId="2" fontId="0" fillId="5" borderId="2" xfId="0" applyNumberFormat="1" applyFill="1" applyBorder="1"/>
    <xf numFmtId="0" fontId="22" fillId="6" borderId="1" xfId="0" applyFont="1" applyFill="1" applyBorder="1"/>
    <xf numFmtId="165" fontId="22" fillId="6" borderId="26" xfId="0" applyNumberFormat="1" applyFont="1" applyFill="1" applyBorder="1"/>
    <xf numFmtId="165" fontId="23" fillId="6" borderId="26" xfId="0" applyNumberFormat="1" applyFont="1" applyFill="1" applyBorder="1"/>
    <xf numFmtId="2" fontId="0" fillId="4" borderId="2" xfId="0" applyNumberFormat="1" applyFill="1" applyBorder="1"/>
    <xf numFmtId="0" fontId="22" fillId="8" borderId="16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6" fillId="8" borderId="16" xfId="0" applyFont="1" applyFill="1" applyBorder="1"/>
    <xf numFmtId="0" fontId="6" fillId="8" borderId="2" xfId="0" applyFont="1" applyFill="1" applyBorder="1"/>
    <xf numFmtId="2" fontId="0" fillId="8" borderId="2" xfId="0" applyNumberFormat="1" applyFill="1" applyBorder="1"/>
    <xf numFmtId="0" fontId="0" fillId="0" borderId="5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6" xfId="0" applyFill="1" applyBorder="1"/>
    <xf numFmtId="0" fontId="0" fillId="0" borderId="2" xfId="0" applyFill="1" applyBorder="1"/>
    <xf numFmtId="2" fontId="0" fillId="0" borderId="2" xfId="0" applyNumberFormat="1" applyFill="1" applyBorder="1"/>
    <xf numFmtId="0" fontId="0" fillId="8" borderId="16" xfId="0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44" xfId="0" applyFont="1" applyFill="1" applyBorder="1"/>
    <xf numFmtId="166" fontId="7" fillId="0" borderId="2" xfId="0" applyNumberFormat="1" applyFont="1" applyFill="1" applyBorder="1"/>
    <xf numFmtId="2" fontId="21" fillId="2" borderId="1" xfId="0" applyNumberFormat="1" applyFont="1" applyFill="1" applyBorder="1"/>
    <xf numFmtId="0" fontId="0" fillId="2" borderId="0" xfId="0" applyFill="1"/>
    <xf numFmtId="0" fontId="0" fillId="10" borderId="2" xfId="0" applyFill="1" applyBorder="1"/>
    <xf numFmtId="2" fontId="0" fillId="10" borderId="2" xfId="0" applyNumberFormat="1" applyFill="1" applyBorder="1"/>
    <xf numFmtId="0" fontId="0" fillId="11" borderId="2" xfId="0" applyFill="1" applyBorder="1"/>
    <xf numFmtId="2" fontId="0" fillId="11" borderId="2" xfId="0" applyNumberFormat="1" applyFill="1" applyBorder="1"/>
    <xf numFmtId="165" fontId="22" fillId="11" borderId="26" xfId="0" applyNumberFormat="1" applyFont="1" applyFill="1" applyBorder="1"/>
    <xf numFmtId="0" fontId="0" fillId="11" borderId="33" xfId="0" applyFill="1" applyBorder="1" applyAlignment="1">
      <alignment horizontal="left" vertical="center" wrapText="1"/>
    </xf>
    <xf numFmtId="165" fontId="0" fillId="6" borderId="2" xfId="0" applyNumberFormat="1" applyFill="1" applyBorder="1"/>
    <xf numFmtId="165" fontId="0" fillId="0" borderId="2" xfId="0" applyNumberFormat="1" applyFill="1" applyBorder="1"/>
    <xf numFmtId="2" fontId="0" fillId="0" borderId="21" xfId="0" applyNumberFormat="1" applyFill="1" applyBorder="1"/>
    <xf numFmtId="0" fontId="14" fillId="0" borderId="0" xfId="0" applyFont="1" applyBorder="1"/>
    <xf numFmtId="0" fontId="3" fillId="2" borderId="5" xfId="0" applyFont="1" applyFill="1" applyBorder="1" applyAlignment="1">
      <alignment horizontal="left"/>
    </xf>
    <xf numFmtId="2" fontId="0" fillId="0" borderId="26" xfId="0" applyNumberFormat="1" applyBorder="1"/>
    <xf numFmtId="2" fontId="0" fillId="0" borderId="32" xfId="0" applyNumberFormat="1" applyBorder="1"/>
    <xf numFmtId="0" fontId="0" fillId="6" borderId="1" xfId="0" applyFill="1" applyBorder="1" applyAlignment="1">
      <alignment horizontal="left" vertical="center"/>
    </xf>
    <xf numFmtId="0" fontId="0" fillId="6" borderId="1" xfId="0" applyFill="1" applyBorder="1"/>
    <xf numFmtId="2" fontId="0" fillId="6" borderId="1" xfId="0" applyNumberFormat="1" applyFill="1" applyBorder="1"/>
    <xf numFmtId="0" fontId="0" fillId="0" borderId="33" xfId="0" applyBorder="1" applyAlignment="1">
      <alignment horizontal="left" vertical="center"/>
    </xf>
    <xf numFmtId="0" fontId="0" fillId="10" borderId="53" xfId="0" applyFill="1" applyBorder="1" applyAlignment="1">
      <alignment horizontal="left" vertical="center"/>
    </xf>
    <xf numFmtId="0" fontId="0" fillId="10" borderId="27" xfId="0" applyFill="1" applyBorder="1"/>
    <xf numFmtId="2" fontId="0" fillId="10" borderId="27" xfId="0" applyNumberFormat="1" applyFill="1" applyBorder="1"/>
    <xf numFmtId="0" fontId="0" fillId="0" borderId="2" xfId="0" applyBorder="1" applyAlignment="1">
      <alignment horizontal="left" vertical="center"/>
    </xf>
    <xf numFmtId="164" fontId="10" fillId="10" borderId="27" xfId="0" applyNumberFormat="1" applyFont="1" applyFill="1" applyBorder="1"/>
    <xf numFmtId="164" fontId="10" fillId="10" borderId="48" xfId="0" applyNumberFormat="1" applyFont="1" applyFill="1" applyBorder="1"/>
    <xf numFmtId="0" fontId="0" fillId="0" borderId="44" xfId="0" applyBorder="1"/>
    <xf numFmtId="165" fontId="0" fillId="10" borderId="27" xfId="0" applyNumberFormat="1" applyFill="1" applyBorder="1"/>
    <xf numFmtId="165" fontId="0" fillId="10" borderId="48" xfId="0" applyNumberFormat="1" applyFill="1" applyBorder="1"/>
    <xf numFmtId="0" fontId="0" fillId="10" borderId="0" xfId="0" applyFill="1"/>
    <xf numFmtId="2" fontId="12" fillId="0" borderId="38" xfId="0" applyNumberFormat="1" applyFont="1" applyFill="1" applyBorder="1"/>
    <xf numFmtId="165" fontId="9" fillId="0" borderId="0" xfId="0" applyNumberFormat="1" applyFont="1" applyBorder="1"/>
    <xf numFmtId="0" fontId="0" fillId="0" borderId="58" xfId="0" applyBorder="1" applyAlignment="1">
      <alignment horizontal="left" vertical="center"/>
    </xf>
    <xf numFmtId="165" fontId="9" fillId="0" borderId="44" xfId="0" applyNumberFormat="1" applyFont="1" applyBorder="1"/>
    <xf numFmtId="165" fontId="9" fillId="0" borderId="45" xfId="0" applyNumberFormat="1" applyFont="1" applyBorder="1"/>
    <xf numFmtId="165" fontId="9" fillId="0" borderId="1" xfId="0" applyNumberFormat="1" applyFont="1" applyBorder="1"/>
    <xf numFmtId="0" fontId="21" fillId="8" borderId="2" xfId="0" applyFont="1" applyFill="1" applyBorder="1" applyAlignment="1">
      <alignment horizontal="left" vertical="center" wrapText="1"/>
    </xf>
    <xf numFmtId="164" fontId="0" fillId="0" borderId="26" xfId="0" applyNumberFormat="1" applyBorder="1"/>
    <xf numFmtId="164" fontId="0" fillId="0" borderId="32" xfId="0" applyNumberFormat="1" applyBorder="1"/>
    <xf numFmtId="0" fontId="21" fillId="0" borderId="30" xfId="0" applyFont="1" applyBorder="1" applyAlignment="1">
      <alignment horizontal="left" vertical="center"/>
    </xf>
    <xf numFmtId="0" fontId="0" fillId="11" borderId="31" xfId="0" applyFill="1" applyBorder="1" applyAlignment="1">
      <alignment horizontal="left" vertical="center"/>
    </xf>
    <xf numFmtId="0" fontId="0" fillId="11" borderId="26" xfId="0" applyFill="1" applyBorder="1"/>
    <xf numFmtId="0" fontId="0" fillId="11" borderId="1" xfId="0" applyFill="1" applyBorder="1"/>
    <xf numFmtId="164" fontId="0" fillId="11" borderId="1" xfId="0" applyNumberFormat="1" applyFill="1" applyBorder="1"/>
    <xf numFmtId="0" fontId="0" fillId="11" borderId="29" xfId="0" applyFill="1" applyBorder="1" applyAlignment="1">
      <alignment horizontal="left" vertical="center"/>
    </xf>
    <xf numFmtId="0" fontId="0" fillId="11" borderId="37" xfId="0" applyFill="1" applyBorder="1"/>
    <xf numFmtId="0" fontId="11" fillId="11" borderId="58" xfId="0" applyFont="1" applyFill="1" applyBorder="1" applyAlignment="1">
      <alignment horizontal="left" vertical="center" wrapText="1"/>
    </xf>
    <xf numFmtId="0" fontId="11" fillId="11" borderId="44" xfId="0" applyFont="1" applyFill="1" applyBorder="1"/>
    <xf numFmtId="0" fontId="0" fillId="11" borderId="44" xfId="0" applyFill="1" applyBorder="1"/>
    <xf numFmtId="2" fontId="11" fillId="11" borderId="44" xfId="0" applyNumberFormat="1" applyFont="1" applyFill="1" applyBorder="1"/>
    <xf numFmtId="2" fontId="11" fillId="11" borderId="45" xfId="0" applyNumberFormat="1" applyFont="1" applyFill="1" applyBorder="1"/>
    <xf numFmtId="0" fontId="3" fillId="0" borderId="9" xfId="0" applyFont="1" applyBorder="1" applyAlignment="1">
      <alignment horizontal="left" vertical="justify"/>
    </xf>
    <xf numFmtId="0" fontId="2" fillId="0" borderId="36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5" fontId="8" fillId="0" borderId="48" xfId="0" applyNumberFormat="1" applyFont="1" applyBorder="1" applyAlignment="1">
      <alignment horizontal="center"/>
    </xf>
    <xf numFmtId="165" fontId="7" fillId="12" borderId="1" xfId="0" applyNumberFormat="1" applyFont="1" applyFill="1" applyBorder="1"/>
    <xf numFmtId="0" fontId="0" fillId="12" borderId="2" xfId="0" applyFill="1" applyBorder="1"/>
    <xf numFmtId="165" fontId="0" fillId="12" borderId="2" xfId="0" applyNumberFormat="1" applyFill="1" applyBorder="1"/>
    <xf numFmtId="165" fontId="6" fillId="12" borderId="1" xfId="0" applyNumberFormat="1" applyFont="1" applyFill="1" applyBorder="1"/>
    <xf numFmtId="0" fontId="14" fillId="0" borderId="0" xfId="0" applyFont="1" applyFill="1"/>
    <xf numFmtId="0" fontId="14" fillId="9" borderId="0" xfId="0" applyFont="1" applyFill="1"/>
    <xf numFmtId="0" fontId="14" fillId="0" borderId="0" xfId="0" applyFont="1" applyFill="1" applyAlignment="1">
      <alignment wrapText="1"/>
    </xf>
    <xf numFmtId="0" fontId="14" fillId="2" borderId="0" xfId="0" applyFont="1" applyFill="1"/>
    <xf numFmtId="0" fontId="14" fillId="13" borderId="0" xfId="0" applyFont="1" applyFill="1"/>
    <xf numFmtId="0" fontId="14" fillId="14" borderId="0" xfId="0" applyFont="1" applyFill="1"/>
    <xf numFmtId="0" fontId="14" fillId="15" borderId="0" xfId="0" applyFont="1" applyFill="1"/>
    <xf numFmtId="0" fontId="14" fillId="9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" fontId="34" fillId="0" borderId="1" xfId="0" applyNumberFormat="1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2" fontId="34" fillId="0" borderId="35" xfId="0" applyNumberFormat="1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2" fontId="0" fillId="10" borderId="0" xfId="0" applyNumberFormat="1" applyFill="1"/>
    <xf numFmtId="0" fontId="25" fillId="0" borderId="28" xfId="0" applyFont="1" applyBorder="1"/>
    <xf numFmtId="0" fontId="25" fillId="0" borderId="21" xfId="0" applyFont="1" applyBorder="1"/>
    <xf numFmtId="0" fontId="25" fillId="0" borderId="22" xfId="0" applyFont="1" applyBorder="1"/>
    <xf numFmtId="0" fontId="25" fillId="0" borderId="29" xfId="0" applyFont="1" applyBorder="1"/>
    <xf numFmtId="0" fontId="25" fillId="0" borderId="37" xfId="0" applyFont="1" applyBorder="1"/>
    <xf numFmtId="0" fontId="1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wrapText="1"/>
    </xf>
    <xf numFmtId="0" fontId="14" fillId="0" borderId="6" xfId="0" applyFont="1" applyFill="1" applyBorder="1" applyAlignment="1">
      <alignment horizontal="center" wrapText="1"/>
    </xf>
    <xf numFmtId="0" fontId="37" fillId="0" borderId="6" xfId="0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25" fillId="0" borderId="5" xfId="0" applyFont="1" applyFill="1" applyBorder="1" applyAlignment="1">
      <alignment wrapText="1"/>
    </xf>
    <xf numFmtId="0" fontId="14" fillId="0" borderId="50" xfId="0" applyFont="1" applyFill="1" applyBorder="1" applyAlignment="1">
      <alignment wrapText="1"/>
    </xf>
    <xf numFmtId="0" fontId="14" fillId="0" borderId="49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40" fillId="0" borderId="5" xfId="0" applyFont="1" applyFill="1" applyBorder="1" applyAlignment="1">
      <alignment horizontal="center" wrapText="1"/>
    </xf>
    <xf numFmtId="0" fontId="41" fillId="0" borderId="5" xfId="0" applyFont="1" applyFill="1" applyBorder="1" applyAlignment="1">
      <alignment horizontal="center" wrapText="1"/>
    </xf>
    <xf numFmtId="0" fontId="25" fillId="2" borderId="1" xfId="0" applyFont="1" applyFill="1" applyBorder="1"/>
    <xf numFmtId="0" fontId="14" fillId="2" borderId="49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0" fontId="42" fillId="0" borderId="5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 wrapText="1"/>
    </xf>
    <xf numFmtId="0" fontId="25" fillId="0" borderId="30" xfId="0" applyFont="1" applyBorder="1"/>
    <xf numFmtId="0" fontId="25" fillId="0" borderId="8" xfId="0" applyFont="1" applyBorder="1"/>
    <xf numFmtId="0" fontId="25" fillId="0" borderId="34" xfId="0" applyFont="1" applyBorder="1"/>
    <xf numFmtId="2" fontId="25" fillId="0" borderId="0" xfId="0" applyNumberFormat="1" applyFont="1"/>
    <xf numFmtId="0" fontId="25" fillId="0" borderId="0" xfId="0" applyFont="1" applyAlignment="1">
      <alignment wrapText="1"/>
    </xf>
    <xf numFmtId="0" fontId="25" fillId="2" borderId="0" xfId="0" applyFont="1" applyFill="1"/>
    <xf numFmtId="0" fontId="14" fillId="0" borderId="0" xfId="0" applyFont="1" applyFill="1" applyBorder="1" applyAlignment="1">
      <alignment vertical="top" wrapText="1"/>
    </xf>
    <xf numFmtId="0" fontId="25" fillId="0" borderId="0" xfId="0" applyFont="1" applyBorder="1"/>
    <xf numFmtId="0" fontId="25" fillId="10" borderId="0" xfId="0" applyFont="1" applyFill="1"/>
    <xf numFmtId="0" fontId="25" fillId="0" borderId="1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25" fillId="0" borderId="0" xfId="0" applyFont="1" applyAlignment="1">
      <alignment horizontal="center" vertical="center" wrapText="1"/>
    </xf>
    <xf numFmtId="0" fontId="1" fillId="17" borderId="0" xfId="0" applyFont="1" applyFill="1"/>
    <xf numFmtId="0" fontId="26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18" borderId="0" xfId="0" applyFont="1" applyFill="1"/>
    <xf numFmtId="0" fontId="14" fillId="0" borderId="0" xfId="0" applyFont="1" applyFill="1" applyBorder="1" applyAlignment="1">
      <alignment horizontal="left" vertical="top" wrapText="1"/>
    </xf>
    <xf numFmtId="0" fontId="35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shrinkToFit="1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right" wrapText="1"/>
    </xf>
    <xf numFmtId="1" fontId="34" fillId="0" borderId="60" xfId="0" applyNumberFormat="1" applyFont="1" applyFill="1" applyBorder="1" applyAlignment="1">
      <alignment horizontal="center" vertical="center" wrapText="1"/>
    </xf>
    <xf numFmtId="1" fontId="34" fillId="0" borderId="21" xfId="0" applyNumberFormat="1" applyFont="1" applyFill="1" applyBorder="1" applyAlignment="1">
      <alignment horizontal="center" vertical="center" wrapText="1"/>
    </xf>
    <xf numFmtId="1" fontId="34" fillId="0" borderId="22" xfId="0" applyNumberFormat="1" applyFont="1" applyFill="1" applyBorder="1" applyAlignment="1">
      <alignment horizontal="center" vertical="center" wrapText="1"/>
    </xf>
    <xf numFmtId="1" fontId="35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166" fontId="34" fillId="0" borderId="0" xfId="0" applyNumberFormat="1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14" fillId="0" borderId="37" xfId="0" applyNumberFormat="1" applyFont="1" applyFill="1" applyBorder="1" applyAlignment="1">
      <alignment horizontal="center" vertical="center" wrapText="1"/>
    </xf>
    <xf numFmtId="1" fontId="35" fillId="0" borderId="37" xfId="0" applyNumberFormat="1" applyFont="1" applyFill="1" applyBorder="1" applyAlignment="1">
      <alignment horizontal="center" vertical="center" wrapText="1"/>
    </xf>
    <xf numFmtId="1" fontId="16" fillId="0" borderId="37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1" fontId="34" fillId="0" borderId="37" xfId="0" applyNumberFormat="1" applyFont="1" applyFill="1" applyBorder="1" applyAlignment="1">
      <alignment horizontal="center" vertical="center" wrapText="1"/>
    </xf>
    <xf numFmtId="1" fontId="34" fillId="0" borderId="61" xfId="0" applyNumberFormat="1" applyFont="1" applyFill="1" applyBorder="1" applyAlignment="1">
      <alignment horizontal="center" vertical="center" wrapText="1"/>
    </xf>
    <xf numFmtId="1" fontId="34" fillId="0" borderId="26" xfId="0" applyNumberFormat="1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1" fontId="14" fillId="0" borderId="0" xfId="0" applyNumberFormat="1" applyFont="1" applyFill="1" applyBorder="1"/>
    <xf numFmtId="1" fontId="35" fillId="0" borderId="26" xfId="0" applyNumberFormat="1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1" borderId="0" xfId="0" applyFont="1" applyFill="1" applyAlignment="1">
      <alignment wrapText="1"/>
    </xf>
    <xf numFmtId="0" fontId="14" fillId="21" borderId="0" xfId="0" applyFont="1" applyFill="1" applyAlignment="1">
      <alignment horizontal="center" vertical="center" wrapText="1"/>
    </xf>
    <xf numFmtId="0" fontId="14" fillId="21" borderId="0" xfId="0" applyFont="1" applyFill="1"/>
    <xf numFmtId="2" fontId="25" fillId="10" borderId="0" xfId="0" applyNumberFormat="1" applyFont="1" applyFill="1"/>
    <xf numFmtId="0" fontId="14" fillId="9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0" borderId="47" xfId="0" applyFont="1" applyFill="1" applyBorder="1" applyAlignment="1">
      <alignment horizontal="center" vertical="center" wrapText="1"/>
    </xf>
    <xf numFmtId="0" fontId="14" fillId="22" borderId="0" xfId="0" applyFont="1" applyFill="1" applyAlignment="1">
      <alignment horizontal="center" vertical="center" wrapText="1"/>
    </xf>
    <xf numFmtId="166" fontId="0" fillId="0" borderId="1" xfId="0" applyNumberFormat="1" applyFill="1" applyBorder="1"/>
    <xf numFmtId="166" fontId="3" fillId="0" borderId="5" xfId="0" applyNumberFormat="1" applyFont="1" applyFill="1" applyBorder="1" applyAlignment="1">
      <alignment horizontal="left"/>
    </xf>
    <xf numFmtId="0" fontId="26" fillId="20" borderId="28" xfId="0" applyFont="1" applyFill="1" applyBorder="1" applyAlignment="1">
      <alignment horizontal="center" vertical="center" wrapText="1"/>
    </xf>
    <xf numFmtId="0" fontId="26" fillId="20" borderId="21" xfId="0" applyFont="1" applyFill="1" applyBorder="1" applyAlignment="1">
      <alignment horizontal="center" vertical="center" wrapText="1"/>
    </xf>
    <xf numFmtId="0" fontId="26" fillId="20" borderId="29" xfId="0" applyFont="1" applyFill="1" applyBorder="1" applyAlignment="1">
      <alignment horizontal="center" vertical="center" wrapText="1"/>
    </xf>
    <xf numFmtId="0" fontId="26" fillId="20" borderId="1" xfId="0" applyFont="1" applyFill="1" applyBorder="1" applyAlignment="1">
      <alignment horizontal="center" vertical="center" wrapText="1"/>
    </xf>
    <xf numFmtId="0" fontId="26" fillId="20" borderId="37" xfId="0" applyFont="1" applyFill="1" applyBorder="1" applyAlignment="1">
      <alignment horizontal="center" vertical="center" wrapText="1"/>
    </xf>
    <xf numFmtId="0" fontId="25" fillId="20" borderId="29" xfId="0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horizontal="center" vertical="center" wrapText="1"/>
    </xf>
    <xf numFmtId="165" fontId="26" fillId="20" borderId="1" xfId="0" applyNumberFormat="1" applyFont="1" applyFill="1" applyBorder="1" applyAlignment="1">
      <alignment horizontal="center" vertical="center" wrapText="1"/>
    </xf>
    <xf numFmtId="165" fontId="25" fillId="20" borderId="1" xfId="0" applyNumberFormat="1" applyFont="1" applyFill="1" applyBorder="1" applyAlignment="1">
      <alignment horizontal="center" vertical="center" wrapText="1"/>
    </xf>
    <xf numFmtId="165" fontId="25" fillId="20" borderId="37" xfId="0" applyNumberFormat="1" applyFont="1" applyFill="1" applyBorder="1" applyAlignment="1">
      <alignment horizontal="center" vertical="center" wrapText="1"/>
    </xf>
    <xf numFmtId="165" fontId="26" fillId="20" borderId="37" xfId="0" applyNumberFormat="1" applyFont="1" applyFill="1" applyBorder="1" applyAlignment="1">
      <alignment horizontal="center" vertical="center" wrapText="1"/>
    </xf>
    <xf numFmtId="164" fontId="25" fillId="20" borderId="1" xfId="0" applyNumberFormat="1" applyFont="1" applyFill="1" applyBorder="1" applyAlignment="1">
      <alignment horizontal="center" vertical="center" wrapText="1"/>
    </xf>
    <xf numFmtId="164" fontId="25" fillId="20" borderId="37" xfId="0" applyNumberFormat="1" applyFont="1" applyFill="1" applyBorder="1" applyAlignment="1">
      <alignment horizontal="center" vertical="center" wrapText="1"/>
    </xf>
    <xf numFmtId="2" fontId="26" fillId="20" borderId="1" xfId="0" applyNumberFormat="1" applyFont="1" applyFill="1" applyBorder="1" applyAlignment="1">
      <alignment horizontal="center" vertical="center" wrapText="1"/>
    </xf>
    <xf numFmtId="2" fontId="25" fillId="20" borderId="1" xfId="0" applyNumberFormat="1" applyFont="1" applyFill="1" applyBorder="1" applyAlignment="1">
      <alignment horizontal="center" vertical="center" wrapText="1"/>
    </xf>
    <xf numFmtId="2" fontId="25" fillId="20" borderId="37" xfId="0" applyNumberFormat="1" applyFont="1" applyFill="1" applyBorder="1" applyAlignment="1">
      <alignment horizontal="center" vertical="center" wrapText="1"/>
    </xf>
    <xf numFmtId="166" fontId="25" fillId="20" borderId="1" xfId="0" applyNumberFormat="1" applyFont="1" applyFill="1" applyBorder="1" applyAlignment="1">
      <alignment horizontal="center" vertical="center" wrapText="1"/>
    </xf>
    <xf numFmtId="166" fontId="25" fillId="20" borderId="37" xfId="0" applyNumberFormat="1" applyFont="1" applyFill="1" applyBorder="1" applyAlignment="1">
      <alignment horizontal="center" vertical="center" wrapText="1"/>
    </xf>
    <xf numFmtId="0" fontId="25" fillId="20" borderId="37" xfId="0" applyFont="1" applyFill="1" applyBorder="1" applyAlignment="1">
      <alignment horizontal="center" vertical="center" wrapText="1"/>
    </xf>
    <xf numFmtId="1" fontId="25" fillId="20" borderId="1" xfId="0" applyNumberFormat="1" applyFont="1" applyFill="1" applyBorder="1" applyAlignment="1">
      <alignment horizontal="center" vertical="center" wrapText="1"/>
    </xf>
    <xf numFmtId="1" fontId="25" fillId="20" borderId="37" xfId="0" applyNumberFormat="1" applyFont="1" applyFill="1" applyBorder="1" applyAlignment="1">
      <alignment horizontal="center" vertical="center" wrapText="1"/>
    </xf>
    <xf numFmtId="2" fontId="26" fillId="20" borderId="37" xfId="0" applyNumberFormat="1" applyFont="1" applyFill="1" applyBorder="1" applyAlignment="1">
      <alignment horizontal="center" vertical="center" wrapText="1"/>
    </xf>
    <xf numFmtId="166" fontId="26" fillId="20" borderId="1" xfId="0" applyNumberFormat="1" applyFont="1" applyFill="1" applyBorder="1" applyAlignment="1">
      <alignment horizontal="center" vertical="center" wrapText="1"/>
    </xf>
    <xf numFmtId="1" fontId="26" fillId="20" borderId="1" xfId="0" applyNumberFormat="1" applyFont="1" applyFill="1" applyBorder="1" applyAlignment="1">
      <alignment horizontal="center" vertical="center" wrapText="1"/>
    </xf>
    <xf numFmtId="1" fontId="26" fillId="20" borderId="37" xfId="0" applyNumberFormat="1" applyFont="1" applyFill="1" applyBorder="1" applyAlignment="1">
      <alignment horizontal="center" vertical="center" wrapText="1"/>
    </xf>
    <xf numFmtId="0" fontId="25" fillId="20" borderId="30" xfId="0" applyFont="1" applyFill="1" applyBorder="1" applyAlignment="1">
      <alignment horizontal="center" vertical="center" wrapText="1"/>
    </xf>
    <xf numFmtId="0" fontId="25" fillId="20" borderId="8" xfId="0" applyFont="1" applyFill="1" applyBorder="1" applyAlignment="1">
      <alignment horizontal="center" vertical="center" wrapText="1"/>
    </xf>
    <xf numFmtId="0" fontId="26" fillId="20" borderId="8" xfId="0" applyFont="1" applyFill="1" applyBorder="1" applyAlignment="1">
      <alignment horizontal="center" vertical="center" wrapText="1"/>
    </xf>
    <xf numFmtId="0" fontId="26" fillId="20" borderId="34" xfId="0" applyFont="1" applyFill="1" applyBorder="1" applyAlignment="1">
      <alignment horizontal="center" vertical="center" wrapText="1"/>
    </xf>
    <xf numFmtId="0" fontId="14" fillId="23" borderId="0" xfId="0" applyFont="1" applyFill="1" applyAlignment="1">
      <alignment horizontal="center" vertical="center" wrapText="1"/>
    </xf>
    <xf numFmtId="0" fontId="14" fillId="22" borderId="0" xfId="0" applyFont="1" applyFill="1" applyAlignment="1">
      <alignment vertical="center"/>
    </xf>
    <xf numFmtId="0" fontId="26" fillId="22" borderId="21" xfId="0" applyFont="1" applyFill="1" applyBorder="1" applyAlignment="1">
      <alignment vertical="center"/>
    </xf>
    <xf numFmtId="0" fontId="26" fillId="22" borderId="1" xfId="0" applyFont="1" applyFill="1" applyBorder="1" applyAlignment="1">
      <alignment vertical="center"/>
    </xf>
    <xf numFmtId="0" fontId="26" fillId="22" borderId="1" xfId="0" applyFont="1" applyFill="1" applyBorder="1" applyAlignment="1">
      <alignment vertical="center" wrapText="1"/>
    </xf>
    <xf numFmtId="0" fontId="25" fillId="22" borderId="1" xfId="0" applyFont="1" applyFill="1" applyBorder="1" applyAlignment="1">
      <alignment vertical="center" wrapText="1"/>
    </xf>
    <xf numFmtId="0" fontId="26" fillId="22" borderId="8" xfId="0" applyFont="1" applyFill="1" applyBorder="1" applyAlignment="1">
      <alignment vertical="center" wrapText="1"/>
    </xf>
    <xf numFmtId="0" fontId="14" fillId="22" borderId="0" xfId="0" applyFont="1" applyFill="1" applyBorder="1" applyAlignment="1">
      <alignment vertical="center"/>
    </xf>
    <xf numFmtId="0" fontId="20" fillId="22" borderId="35" xfId="0" applyFont="1" applyFill="1" applyBorder="1" applyAlignment="1">
      <alignment vertical="center" wrapText="1"/>
    </xf>
    <xf numFmtId="0" fontId="14" fillId="22" borderId="35" xfId="0" applyFont="1" applyFill="1" applyBorder="1" applyAlignment="1">
      <alignment vertical="center" wrapText="1"/>
    </xf>
    <xf numFmtId="0" fontId="14" fillId="22" borderId="0" xfId="0" applyFont="1" applyFill="1" applyBorder="1" applyAlignment="1">
      <alignment vertical="center" wrapText="1"/>
    </xf>
    <xf numFmtId="0" fontId="20" fillId="22" borderId="17" xfId="0" applyFont="1" applyFill="1" applyBorder="1" applyAlignment="1">
      <alignment vertical="center" wrapText="1"/>
    </xf>
    <xf numFmtId="0" fontId="14" fillId="22" borderId="18" xfId="0" applyFont="1" applyFill="1" applyBorder="1" applyAlignment="1">
      <alignment vertical="center" wrapText="1"/>
    </xf>
    <xf numFmtId="0" fontId="34" fillId="22" borderId="18" xfId="0" applyFont="1" applyFill="1" applyBorder="1" applyAlignment="1">
      <alignment vertical="center" wrapText="1"/>
    </xf>
    <xf numFmtId="0" fontId="14" fillId="22" borderId="19" xfId="0" applyFont="1" applyFill="1" applyBorder="1" applyAlignment="1">
      <alignment vertical="center" wrapText="1"/>
    </xf>
    <xf numFmtId="0" fontId="14" fillId="22" borderId="51" xfId="0" applyFont="1" applyFill="1" applyBorder="1" applyAlignment="1">
      <alignment vertical="center" wrapText="1"/>
    </xf>
    <xf numFmtId="0" fontId="16" fillId="22" borderId="17" xfId="0" applyFont="1" applyFill="1" applyBorder="1" applyAlignment="1">
      <alignment vertical="center" wrapText="1"/>
    </xf>
    <xf numFmtId="0" fontId="14" fillId="22" borderId="24" xfId="0" applyFont="1" applyFill="1" applyBorder="1" applyAlignment="1">
      <alignment vertical="center" wrapText="1"/>
    </xf>
    <xf numFmtId="0" fontId="14" fillId="22" borderId="17" xfId="0" applyFont="1" applyFill="1" applyBorder="1" applyAlignment="1">
      <alignment vertical="center" wrapText="1"/>
    </xf>
    <xf numFmtId="0" fontId="14" fillId="22" borderId="4" xfId="0" applyFont="1" applyFill="1" applyBorder="1" applyAlignment="1">
      <alignment vertical="center" wrapText="1"/>
    </xf>
    <xf numFmtId="0" fontId="14" fillId="22" borderId="39" xfId="0" applyFont="1" applyFill="1" applyBorder="1" applyAlignment="1">
      <alignment vertical="center" wrapText="1"/>
    </xf>
    <xf numFmtId="0" fontId="16" fillId="22" borderId="0" xfId="0" applyFont="1" applyFill="1" applyBorder="1" applyAlignment="1">
      <alignment vertical="center" wrapText="1"/>
    </xf>
    <xf numFmtId="2" fontId="16" fillId="0" borderId="35" xfId="0" applyNumberFormat="1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1" fontId="16" fillId="0" borderId="21" xfId="0" applyNumberFormat="1" applyFont="1" applyFill="1" applyBorder="1" applyAlignment="1">
      <alignment horizontal="center" vertical="center" wrapText="1"/>
    </xf>
    <xf numFmtId="1" fontId="16" fillId="0" borderId="60" xfId="0" applyNumberFormat="1" applyFont="1" applyFill="1" applyBorder="1" applyAlignment="1">
      <alignment horizontal="center" vertical="center" wrapText="1"/>
    </xf>
    <xf numFmtId="1" fontId="16" fillId="0" borderId="26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14" fillId="24" borderId="0" xfId="0" applyFont="1" applyFill="1" applyAlignment="1">
      <alignment horizontal="center" vertical="center" wrapText="1"/>
    </xf>
    <xf numFmtId="0" fontId="14" fillId="24" borderId="0" xfId="0" applyFont="1" applyFill="1" applyBorder="1" applyAlignment="1">
      <alignment horizontal="center" vertical="center" wrapText="1"/>
    </xf>
    <xf numFmtId="1" fontId="34" fillId="24" borderId="1" xfId="0" applyNumberFormat="1" applyFont="1" applyFill="1" applyBorder="1" applyAlignment="1">
      <alignment horizontal="center" vertical="center" wrapText="1"/>
    </xf>
    <xf numFmtId="0" fontId="34" fillId="24" borderId="26" xfId="0" applyFont="1" applyFill="1" applyBorder="1" applyAlignment="1">
      <alignment horizontal="center" vertical="center" wrapText="1"/>
    </xf>
    <xf numFmtId="2" fontId="34" fillId="24" borderId="35" xfId="0" applyNumberFormat="1" applyFont="1" applyFill="1" applyBorder="1" applyAlignment="1">
      <alignment horizontal="center" vertical="center" wrapText="1"/>
    </xf>
    <xf numFmtId="0" fontId="34" fillId="24" borderId="35" xfId="0" applyFont="1" applyFill="1" applyBorder="1" applyAlignment="1">
      <alignment horizontal="center" vertical="center" wrapText="1"/>
    </xf>
    <xf numFmtId="0" fontId="35" fillId="24" borderId="1" xfId="0" applyFont="1" applyFill="1" applyBorder="1" applyAlignment="1">
      <alignment horizontal="center" vertical="center" wrapText="1"/>
    </xf>
    <xf numFmtId="0" fontId="34" fillId="24" borderId="8" xfId="0" applyFont="1" applyFill="1" applyBorder="1" applyAlignment="1">
      <alignment horizontal="center" vertical="center" wrapText="1"/>
    </xf>
    <xf numFmtId="0" fontId="44" fillId="24" borderId="0" xfId="0" applyFont="1" applyFill="1" applyBorder="1" applyAlignment="1">
      <alignment horizontal="right" wrapText="1"/>
    </xf>
    <xf numFmtId="1" fontId="34" fillId="24" borderId="21" xfId="0" applyNumberFormat="1" applyFont="1" applyFill="1" applyBorder="1" applyAlignment="1">
      <alignment horizontal="center" vertical="center" wrapText="1"/>
    </xf>
    <xf numFmtId="165" fontId="14" fillId="24" borderId="1" xfId="0" applyNumberFormat="1" applyFont="1" applyFill="1" applyBorder="1" applyAlignment="1">
      <alignment horizontal="center" vertical="center" wrapText="1"/>
    </xf>
    <xf numFmtId="1" fontId="35" fillId="24" borderId="1" xfId="0" applyNumberFormat="1" applyFont="1" applyFill="1" applyBorder="1" applyAlignment="1">
      <alignment horizontal="center" vertical="center" wrapText="1"/>
    </xf>
    <xf numFmtId="1" fontId="16" fillId="24" borderId="1" xfId="0" applyNumberFormat="1" applyFont="1" applyFill="1" applyBorder="1" applyAlignment="1">
      <alignment horizontal="center" vertical="center" wrapText="1"/>
    </xf>
    <xf numFmtId="1" fontId="16" fillId="24" borderId="8" xfId="0" applyNumberFormat="1" applyFont="1" applyFill="1" applyBorder="1" applyAlignment="1">
      <alignment horizontal="center" vertical="center" wrapText="1"/>
    </xf>
    <xf numFmtId="1" fontId="34" fillId="24" borderId="60" xfId="0" applyNumberFormat="1" applyFont="1" applyFill="1" applyBorder="1" applyAlignment="1">
      <alignment horizontal="center" vertical="center" wrapText="1"/>
    </xf>
    <xf numFmtId="1" fontId="14" fillId="24" borderId="21" xfId="0" applyNumberFormat="1" applyFont="1" applyFill="1" applyBorder="1" applyAlignment="1">
      <alignment horizontal="center" vertical="center" wrapText="1"/>
    </xf>
    <xf numFmtId="1" fontId="35" fillId="24" borderId="26" xfId="0" applyNumberFormat="1" applyFont="1" applyFill="1" applyBorder="1" applyAlignment="1">
      <alignment horizontal="center" vertical="center" wrapText="1"/>
    </xf>
    <xf numFmtId="0" fontId="16" fillId="24" borderId="0" xfId="0" applyFont="1" applyFill="1" applyBorder="1" applyAlignment="1">
      <alignment horizontal="center" vertical="center" wrapText="1"/>
    </xf>
    <xf numFmtId="0" fontId="14" fillId="23" borderId="0" xfId="0" applyFont="1" applyFill="1" applyAlignment="1">
      <alignment horizontal="center" vertical="center"/>
    </xf>
    <xf numFmtId="0" fontId="14" fillId="23" borderId="0" xfId="0" applyFont="1" applyFill="1"/>
    <xf numFmtId="0" fontId="14" fillId="23" borderId="0" xfId="0" applyFont="1" applyFill="1" applyAlignment="1">
      <alignment vertical="center"/>
    </xf>
    <xf numFmtId="0" fontId="14" fillId="25" borderId="1" xfId="0" applyFont="1" applyFill="1" applyBorder="1"/>
    <xf numFmtId="0" fontId="14" fillId="25" borderId="1" xfId="0" applyFont="1" applyFill="1" applyBorder="1" applyAlignment="1">
      <alignment horizontal="center" vertical="center"/>
    </xf>
    <xf numFmtId="0" fontId="14" fillId="25" borderId="0" xfId="0" applyFont="1" applyFill="1"/>
    <xf numFmtId="0" fontId="26" fillId="25" borderId="1" xfId="0" applyFont="1" applyFill="1" applyBorder="1" applyAlignment="1">
      <alignment horizontal="center" vertical="center" wrapText="1"/>
    </xf>
    <xf numFmtId="165" fontId="25" fillId="25" borderId="1" xfId="0" applyNumberFormat="1" applyFont="1" applyFill="1" applyBorder="1" applyAlignment="1">
      <alignment horizontal="center" vertical="center" wrapText="1"/>
    </xf>
    <xf numFmtId="165" fontId="26" fillId="25" borderId="1" xfId="0" applyNumberFormat="1" applyFont="1" applyFill="1" applyBorder="1" applyAlignment="1">
      <alignment horizontal="center" vertical="center" wrapText="1"/>
    </xf>
    <xf numFmtId="164" fontId="25" fillId="25" borderId="1" xfId="0" applyNumberFormat="1" applyFont="1" applyFill="1" applyBorder="1" applyAlignment="1">
      <alignment horizontal="center" vertical="center" wrapText="1"/>
    </xf>
    <xf numFmtId="2" fontId="25" fillId="25" borderId="1" xfId="0" applyNumberFormat="1" applyFont="1" applyFill="1" applyBorder="1" applyAlignment="1">
      <alignment horizontal="center" vertical="center" wrapText="1"/>
    </xf>
    <xf numFmtId="166" fontId="25" fillId="25" borderId="1" xfId="0" applyNumberFormat="1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center" vertical="center" wrapText="1"/>
    </xf>
    <xf numFmtId="1" fontId="25" fillId="25" borderId="1" xfId="0" applyNumberFormat="1" applyFont="1" applyFill="1" applyBorder="1" applyAlignment="1">
      <alignment horizontal="center" vertical="center" wrapText="1"/>
    </xf>
    <xf numFmtId="2" fontId="26" fillId="25" borderId="1" xfId="0" applyNumberFormat="1" applyFont="1" applyFill="1" applyBorder="1" applyAlignment="1">
      <alignment horizontal="center" vertical="center" wrapText="1"/>
    </xf>
    <xf numFmtId="166" fontId="26" fillId="25" borderId="1" xfId="0" applyNumberFormat="1" applyFont="1" applyFill="1" applyBorder="1" applyAlignment="1">
      <alignment horizontal="center" vertical="center" wrapText="1"/>
    </xf>
    <xf numFmtId="1" fontId="26" fillId="25" borderId="1" xfId="0" applyNumberFormat="1" applyFont="1" applyFill="1" applyBorder="1" applyAlignment="1">
      <alignment horizontal="center" vertical="center" wrapText="1"/>
    </xf>
    <xf numFmtId="0" fontId="26" fillId="25" borderId="8" xfId="0" applyFont="1" applyFill="1" applyBorder="1" applyAlignment="1">
      <alignment horizontal="center" vertical="center" wrapText="1"/>
    </xf>
    <xf numFmtId="0" fontId="14" fillId="25" borderId="0" xfId="0" applyFont="1" applyFill="1" applyBorder="1" applyAlignment="1">
      <alignment horizontal="center" vertical="center" wrapText="1"/>
    </xf>
    <xf numFmtId="0" fontId="14" fillId="25" borderId="0" xfId="0" applyFont="1" applyFill="1" applyAlignment="1">
      <alignment horizontal="center" vertical="center" wrapText="1"/>
    </xf>
    <xf numFmtId="0" fontId="14" fillId="22" borderId="21" xfId="0" applyFont="1" applyFill="1" applyBorder="1" applyAlignment="1">
      <alignment horizontal="center" vertical="center" wrapText="1"/>
    </xf>
    <xf numFmtId="0" fontId="14" fillId="22" borderId="0" xfId="0" applyFont="1" applyFill="1" applyBorder="1" applyAlignment="1">
      <alignment horizontal="center" vertical="center" wrapText="1"/>
    </xf>
    <xf numFmtId="0" fontId="1" fillId="22" borderId="0" xfId="0" applyFont="1" applyFill="1" applyBorder="1" applyAlignment="1">
      <alignment vertical="center" wrapText="1"/>
    </xf>
    <xf numFmtId="0" fontId="34" fillId="22" borderId="1" xfId="0" applyFont="1" applyFill="1" applyBorder="1" applyAlignment="1">
      <alignment horizontal="center" vertical="center" wrapText="1"/>
    </xf>
    <xf numFmtId="0" fontId="34" fillId="22" borderId="26" xfId="0" applyFont="1" applyFill="1" applyBorder="1" applyAlignment="1">
      <alignment horizontal="center" vertical="center" wrapText="1"/>
    </xf>
    <xf numFmtId="0" fontId="34" fillId="22" borderId="8" xfId="0" applyFont="1" applyFill="1" applyBorder="1" applyAlignment="1">
      <alignment horizontal="center" vertical="center" wrapText="1"/>
    </xf>
    <xf numFmtId="0" fontId="34" fillId="22" borderId="35" xfId="0" applyFont="1" applyFill="1" applyBorder="1" applyAlignment="1">
      <alignment horizontal="center" vertical="center" wrapText="1"/>
    </xf>
    <xf numFmtId="0" fontId="34" fillId="22" borderId="21" xfId="0" applyFont="1" applyFill="1" applyBorder="1" applyAlignment="1">
      <alignment horizontal="center" vertical="center" wrapText="1"/>
    </xf>
    <xf numFmtId="0" fontId="34" fillId="22" borderId="60" xfId="0" applyFont="1" applyFill="1" applyBorder="1" applyAlignment="1">
      <alignment horizontal="center" vertical="center" wrapText="1"/>
    </xf>
    <xf numFmtId="0" fontId="35" fillId="22" borderId="1" xfId="0" applyFont="1" applyFill="1" applyBorder="1" applyAlignment="1">
      <alignment horizontal="center" vertical="center" wrapText="1"/>
    </xf>
    <xf numFmtId="0" fontId="44" fillId="22" borderId="0" xfId="0" applyFont="1" applyFill="1" applyBorder="1" applyAlignment="1">
      <alignment horizontal="right" wrapText="1"/>
    </xf>
    <xf numFmtId="165" fontId="14" fillId="22" borderId="1" xfId="0" applyNumberFormat="1" applyFont="1" applyFill="1" applyBorder="1" applyAlignment="1">
      <alignment horizontal="center" vertical="center" wrapText="1"/>
    </xf>
    <xf numFmtId="0" fontId="16" fillId="22" borderId="1" xfId="0" applyFont="1" applyFill="1" applyBorder="1" applyAlignment="1">
      <alignment horizontal="center" vertical="center" wrapText="1"/>
    </xf>
    <xf numFmtId="0" fontId="16" fillId="22" borderId="8" xfId="0" applyFont="1" applyFill="1" applyBorder="1" applyAlignment="1">
      <alignment horizontal="center" vertical="center" wrapText="1"/>
    </xf>
    <xf numFmtId="1" fontId="35" fillId="22" borderId="1" xfId="0" applyNumberFormat="1" applyFont="1" applyFill="1" applyBorder="1" applyAlignment="1">
      <alignment horizontal="center" vertical="center" wrapText="1"/>
    </xf>
    <xf numFmtId="1" fontId="35" fillId="22" borderId="26" xfId="0" applyNumberFormat="1" applyFont="1" applyFill="1" applyBorder="1" applyAlignment="1">
      <alignment horizontal="center" vertical="center" wrapText="1"/>
    </xf>
    <xf numFmtId="0" fontId="16" fillId="22" borderId="0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1" fontId="25" fillId="26" borderId="1" xfId="0" applyNumberFormat="1" applyFont="1" applyFill="1" applyBorder="1" applyAlignment="1">
      <alignment horizontal="center" vertical="center" wrapText="1"/>
    </xf>
    <xf numFmtId="0" fontId="14" fillId="25" borderId="1" xfId="0" applyFont="1" applyFill="1" applyBorder="1" applyAlignment="1">
      <alignment horizontal="center"/>
    </xf>
    <xf numFmtId="0" fontId="14" fillId="27" borderId="1" xfId="0" applyFont="1" applyFill="1" applyBorder="1"/>
    <xf numFmtId="0" fontId="25" fillId="25" borderId="3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 wrapText="1"/>
    </xf>
    <xf numFmtId="166" fontId="46" fillId="0" borderId="0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/>
    </xf>
    <xf numFmtId="0" fontId="1" fillId="0" borderId="69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19" borderId="49" xfId="0" applyFill="1" applyBorder="1" applyAlignment="1">
      <alignment horizontal="center" vertical="center" wrapText="1"/>
    </xf>
    <xf numFmtId="0" fontId="0" fillId="19" borderId="50" xfId="0" applyFill="1" applyBorder="1" applyAlignment="1">
      <alignment horizontal="center" vertical="center" wrapText="1"/>
    </xf>
    <xf numFmtId="0" fontId="0" fillId="19" borderId="4" xfId="0" applyFill="1" applyBorder="1" applyAlignment="1">
      <alignment horizontal="center" vertical="center" wrapText="1"/>
    </xf>
    <xf numFmtId="0" fontId="6" fillId="0" borderId="69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16" fillId="0" borderId="36" xfId="0" applyFont="1" applyBorder="1" applyAlignment="1">
      <alignment horizontal="left" vertical="center" wrapText="1"/>
    </xf>
    <xf numFmtId="0" fontId="16" fillId="0" borderId="6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" fillId="20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left" vertical="top" wrapText="1"/>
    </xf>
    <xf numFmtId="0" fontId="14" fillId="9" borderId="62" xfId="0" applyFont="1" applyFill="1" applyBorder="1" applyAlignment="1">
      <alignment horizontal="left" vertical="top" wrapText="1"/>
    </xf>
    <xf numFmtId="0" fontId="14" fillId="23" borderId="26" xfId="0" applyFont="1" applyFill="1" applyBorder="1"/>
    <xf numFmtId="0" fontId="14" fillId="23" borderId="2" xfId="0" applyFont="1" applyFill="1" applyBorder="1"/>
    <xf numFmtId="0" fontId="36" fillId="23" borderId="0" xfId="0" applyFont="1" applyFill="1" applyAlignment="1">
      <alignment horizontal="center"/>
    </xf>
    <xf numFmtId="0" fontId="14" fillId="23" borderId="7" xfId="0" applyFont="1" applyFill="1" applyBorder="1" applyAlignment="1">
      <alignment horizontal="right" vertical="center" wrapText="1"/>
    </xf>
    <xf numFmtId="0" fontId="26" fillId="20" borderId="21" xfId="0" applyNumberFormat="1" applyFont="1" applyFill="1" applyBorder="1" applyAlignment="1">
      <alignment horizontal="center" vertical="center" wrapText="1"/>
    </xf>
    <xf numFmtId="0" fontId="26" fillId="20" borderId="22" xfId="0" applyNumberFormat="1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4" fillId="0" borderId="49" xfId="0" applyFont="1" applyFill="1" applyBorder="1" applyAlignment="1">
      <alignment vertical="top" wrapText="1"/>
    </xf>
    <xf numFmtId="0" fontId="14" fillId="0" borderId="50" xfId="0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16" fillId="0" borderId="70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top" wrapText="1"/>
    </xf>
    <xf numFmtId="0" fontId="16" fillId="0" borderId="63" xfId="0" applyFont="1" applyFill="1" applyBorder="1" applyAlignment="1">
      <alignment horizontal="center" vertical="top" wrapText="1"/>
    </xf>
    <xf numFmtId="0" fontId="16" fillId="0" borderId="23" xfId="0" applyFont="1" applyFill="1" applyBorder="1" applyAlignment="1">
      <alignment horizontal="center" vertical="top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38" fillId="0" borderId="49" xfId="0" applyFont="1" applyFill="1" applyBorder="1" applyAlignment="1">
      <alignment horizontal="center" wrapText="1"/>
    </xf>
    <xf numFmtId="0" fontId="38" fillId="0" borderId="4" xfId="0" applyFont="1" applyFill="1" applyBorder="1" applyAlignment="1">
      <alignment horizontal="center" wrapText="1"/>
    </xf>
    <xf numFmtId="0" fontId="39" fillId="0" borderId="49" xfId="0" applyFont="1" applyFill="1" applyBorder="1" applyAlignment="1">
      <alignment horizontal="center" wrapText="1"/>
    </xf>
    <xf numFmtId="0" fontId="39" fillId="0" borderId="4" xfId="0" applyFont="1" applyFill="1" applyBorder="1" applyAlignment="1">
      <alignment horizontal="center" wrapText="1"/>
    </xf>
    <xf numFmtId="0" fontId="25" fillId="0" borderId="6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625621265426926"/>
          <c:y val="2.91970802919707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3829787234042562E-2"/>
          <c:y val="0.14051094890510948"/>
          <c:w val="0.9042553191489362"/>
          <c:h val="0.551094890510948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'диаграм коммун.инфраструкт'!$A$2</c:f>
              <c:strCache>
                <c:ptCount val="1"/>
                <c:pt idx="0">
                  <c:v>Динамика изменения фактического объема потерь ЭЭ при ее передаче по распределительным сетям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'диаграм коммун.инфраструкт'!$B$1:$N$1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xVal>
          <c:yVal>
            <c:numRef>
              <c:f>'диаграм коммун.инфраструкт'!$B$2:$N$2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852280"/>
        <c:axId val="285573824"/>
      </c:scatterChart>
      <c:valAx>
        <c:axId val="28585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5573824"/>
        <c:crosses val="autoZero"/>
        <c:crossBetween val="midCat"/>
      </c:valAx>
      <c:valAx>
        <c:axId val="28557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5852280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9.8936170212765961E-2"/>
          <c:y val="0.83576642335766427"/>
          <c:w val="0.77553191489361761"/>
          <c:h val="4.56204379562047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Экономия ТЭР в натуральном выражении</a:t>
            </a:r>
          </a:p>
        </c:rich>
      </c:tx>
      <c:layout>
        <c:manualLayout>
          <c:xMode val="edge"/>
          <c:yMode val="edge"/>
          <c:x val="0.32356252020221876"/>
          <c:y val="2.71903323262840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5172440334648534E-2"/>
          <c:y val="0.11027190332326289"/>
          <c:w val="0.93103493064719522"/>
          <c:h val="0.625377643504536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'диаграм по отдельн видам ТЭР'!$A$3</c:f>
              <c:strCache>
                <c:ptCount val="1"/>
                <c:pt idx="0">
                  <c:v>Экономия электроэнергии в натуральном выражении, тыс. кВт*ч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1959194755827983E-3"/>
                  <c:y val="2.8210068907549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9510104340406342E-4"/>
                  <c:y val="4.6065767458826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613630192777782E-3"/>
                  <c:y val="4.1863120584247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8571816453977841E-3"/>
                  <c:y val="3.3166020410590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939904063716534E-3"/>
                  <c:y val="-5.2726566278912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6380409345381192E-4"/>
                  <c:y val="-2.9380466414507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2152877442044089E-3"/>
                  <c:y val="-4.31588045452022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3.0112098056708798E-3"/>
                  <c:y val="-5.4637581178485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7922501066677402E-3"/>
                  <c:y val="2.847967266931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5733938430110822E-3"/>
                  <c:y val="-2.46655723925748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7.3249809291080345E-3"/>
                  <c:y val="1.4444418012703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'диаграм по отдельн видам ТЭР'!$B$2:$N$2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'диаграм по отдельн видам ТЭР'!$B$3:$N$3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'диаграм по отдельн видам ТЭР'!$A$4</c:f>
              <c:strCache>
                <c:ptCount val="1"/>
                <c:pt idx="0">
                  <c:v>Экономия тепловой энергии в натуральном выражении, тыс.Гкал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470398096789605E-3"/>
                  <c:y val="-5.4268065434418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724150860452737E-3"/>
                  <c:y val="-6.9373805615688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790375341013473E-3"/>
                  <c:y val="9.8467223319139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8305211848518612E-3"/>
                  <c:y val="8.8418932527693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7079244404793778E-3"/>
                  <c:y val="8.533752012115968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9844459097785083E-3"/>
                  <c:y val="9.7710746881715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7803679712450104E-3"/>
                  <c:y val="1.3041844089730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605743247611383E-3"/>
                  <c:y val="1.0119022131297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3721086588314516E-3"/>
                  <c:y val="5.70703586522981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4.1680307202979355E-3"/>
                  <c:y val="1.0261277763240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'диаграм по отдельн видам ТЭР'!$B$4:$N$4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'диаграм по отдельн видам ТЭР'!$A$5</c:f>
              <c:strCache>
                <c:ptCount val="1"/>
                <c:pt idx="0">
                  <c:v>Экономия воды в натуральном выражении, тыс.м.куб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435385232018424E-3"/>
                  <c:y val="3.63663756531939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312038581384398E-3"/>
                  <c:y val="-6.9373805615688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8508979481018248E-4"/>
                  <c:y val="-1.0204185201925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4797589956428077E-3"/>
                  <c:y val="-3.090927833416631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9472738321503476E-3"/>
                  <c:y val="-8.22021869622797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43092458270284E-3"/>
                  <c:y val="-1.5608313311289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390145197367948E-3"/>
                  <c:y val="-1.5966410543093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3201582560800852E-3"/>
                  <c:y val="-1.062857324103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3.1011985570769769E-3"/>
                  <c:y val="-1.0293313033756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9117955083200922E-3"/>
                  <c:y val="-2.288460166044721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0509031198686488E-3"/>
                  <c:y val="-9.2558143223034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8320468562119537E-3"/>
                  <c:y val="-2.6372005614102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'диаграм по отдельн видам ТЭР'!$B$5:$N$5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">
                  <c:v>0</c:v>
                </c:pt>
                <c:pt idx="4" formatCode="0.0">
                  <c:v>0</c:v>
                </c:pt>
                <c:pt idx="5" formatCode="0.0">
                  <c:v>0</c:v>
                </c:pt>
                <c:pt idx="6" formatCode="0.0">
                  <c:v>0</c:v>
                </c:pt>
                <c:pt idx="7" formatCode="0.0">
                  <c:v>0</c:v>
                </c:pt>
                <c:pt idx="8" formatCode="0.0">
                  <c:v>0</c:v>
                </c:pt>
                <c:pt idx="9" formatCode="0.0">
                  <c:v>0</c:v>
                </c:pt>
                <c:pt idx="10" formatCode="0.0">
                  <c:v>0</c:v>
                </c:pt>
                <c:pt idx="11" formatCode="0.0">
                  <c:v>0</c:v>
                </c:pt>
                <c:pt idx="12" formatCode="0.0">
                  <c:v>0</c:v>
                </c:pt>
              </c:numCache>
            </c:numRef>
          </c:val>
        </c:ser>
        <c:ser>
          <c:idx val="3"/>
          <c:order val="3"/>
          <c:tx>
            <c:strRef>
              <c:f>'диаграм по отдельн видам ТЭР'!$A$6</c:f>
              <c:strCache>
                <c:ptCount val="1"/>
                <c:pt idx="0">
                  <c:v>Экономия природного газа в натуральном выражении, тыс. куб.м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3.3834736175219256E-3"/>
                  <c:y val="5.1472115834463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0047709553547431E-3"/>
                  <c:y val="7.7812403358945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7859146916980443E-3"/>
                  <c:y val="-7.9612404944850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7023389317714541E-3"/>
                  <c:y val="-8.6744217395787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0344698292023792E-3"/>
                  <c:y val="-7.4705616480719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1734740054044888E-3"/>
                  <c:y val="5.1430882317957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6262105167889449E-3"/>
                  <c:y val="-5.1759164545519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7356580427446492E-3"/>
                  <c:y val="2.2746627970597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5315801042111482E-3"/>
                  <c:y val="3.57891064221207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5987096440531392E-3"/>
                  <c:y val="-1.7938165584287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3.1085424666744002E-3"/>
                  <c:y val="3.15817018340985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'диаграм по отдельн видам ТЭР'!$B$6:$N$6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6029648"/>
        <c:axId val="286030040"/>
        <c:axId val="0"/>
      </c:bar3DChart>
      <c:catAx>
        <c:axId val="28602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48027058686629687"/>
              <c:y val="0.776435045317220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030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030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029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995084235160288"/>
          <c:y val="0.84592145015106079"/>
          <c:w val="0.46009872903818061"/>
          <c:h val="0.145015105740182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045128121871364"/>
          <c:y val="2.86195286195286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hPercent val="49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0824772886181593E-2"/>
          <c:y val="0.18686899408964991"/>
          <c:w val="0.92474273354076064"/>
          <c:h val="0.565657495622724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диаграм.общ.показ.!$A$2</c:f>
              <c:strCache>
                <c:ptCount val="1"/>
                <c:pt idx="0">
                  <c:v>Доля объемов ЭЭ, расчеты за которую осуществляются с использованием приборов учета (в части МКД - с использованием коллективных приборов учета), в общем объеме ЭЭ, потребляемой на территории МО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3838785615717733E-4"/>
                  <c:y val="-8.207534664227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629894201369065E-3"/>
                  <c:y val="-1.0015288492978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60161809670611E-3"/>
                  <c:y val="-2.5980186820081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5018264469518392E-3"/>
                  <c:y val="-1.3153229583675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6484563140947112E-3"/>
                  <c:y val="-9.9726928073385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7642665800795652E-3"/>
                  <c:y val="-4.92218775683343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8800768460644018E-3"/>
                  <c:y val="-8.2891911238368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0268149471007365E-3"/>
                  <c:y val="-8.2891911238368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1735530481370144E-3"/>
                  <c:y val="-6.6056894403351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9.3821468192766058E-3"/>
                  <c:y val="-1.1656194490840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4979570852613063E-3"/>
                  <c:y val="-8.2891911238368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7.5518034472495327E-3"/>
                  <c:y val="-3.2386860733317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9.7294693833374166E-3"/>
                  <c:y val="-6.6056894403351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диаграм.общ.показ.!$B$1:$N$1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диаграм.общ.показ.!$B$2:$N$2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6030824"/>
        <c:axId val="286031216"/>
        <c:axId val="0"/>
      </c:bar3DChart>
      <c:catAx>
        <c:axId val="286030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47980994128311288"/>
              <c:y val="0.79966453688238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03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03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030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8.1443298969072167E-2"/>
          <c:y val="0.88383979780305233"/>
          <c:w val="0.84226847417268713"/>
          <c:h val="0.102693779439187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horizontalDpi="200" verticalDpi="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50665898997462"/>
          <c:y val="2.8667790893760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hPercent val="49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076210092687985E-2"/>
          <c:y val="0.18718381112984822"/>
          <c:w val="0.92481977342945465"/>
          <c:h val="0.564924114671166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диаграм.общ.показ.!$A$3</c:f>
              <c:strCache>
                <c:ptCount val="1"/>
                <c:pt idx="0">
                  <c:v>Доля объемов ТЭ, расчеты за которую осуществляются с использованием приборов учета (в части МКД - с использованием коллективных приборов учета), в общем объеме ТЭ, потребляемой на территории МО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773451078656621E-3"/>
                  <c:y val="-1.9152580632311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2034026127783123E-4"/>
                  <c:y val="-2.3475986243709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4870807214997003E-5"/>
                  <c:y val="-3.2124567902873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1269005895374582E-4"/>
                  <c:y val="-3.378346677997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7000819027384413E-3"/>
                  <c:y val="-1.0389805827391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8783028022630163E-3"/>
                  <c:y val="-5.59688049111907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1759881714065012E-3"/>
                  <c:y val="-1.092217604334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3.4438074231452941E-3"/>
                  <c:y val="-9.7680285748430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368337969082323E-3"/>
                  <c:y val="4.34429676054408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6062911034163676E-3"/>
                  <c:y val="-4.0874064435031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9339507123915939E-3"/>
                  <c:y val="2.657956119734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2016618417033908E-3"/>
                  <c:y val="-5.7737470843127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4.4397230984643864E-3"/>
                  <c:y val="9.716154789251764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диаграм.общ.показ.!$B$1:$N$1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диаграм.общ.показ.!$B$3:$N$3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6032000"/>
        <c:axId val="286032392"/>
        <c:axId val="0"/>
      </c:bar3DChart>
      <c:catAx>
        <c:axId val="28603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48042751607645501"/>
              <c:y val="0.797639123102866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032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032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03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8.1359423274974252E-2"/>
          <c:y val="0.87352445193929174"/>
          <c:w val="0.83934088568486165"/>
          <c:h val="0.114671163575042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37455040342178"/>
          <c:y val="2.86195286195286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hPercent val="49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5555555555555455E-2"/>
          <c:y val="0.18350168350168394"/>
          <c:w val="0.93004115226338124"/>
          <c:h val="0.5740740740740787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диаграм.общ.показ.!$A$4</c:f>
              <c:strCache>
                <c:ptCount val="1"/>
                <c:pt idx="0">
                  <c:v>Доля объемов воды, расчеты за которую осуществляются с использованием приборов учета (в части МКД - с использованием коллективных приборов учета), в общем объеме воды, потребляемой на территории МО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554205415681212E-3"/>
                  <c:y val="-1.3434431807134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302193707267982E-3"/>
                  <c:y val="-1.1782214091925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339327954376836E-3"/>
                  <c:y val="-3.00644237652164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2375382089584486E-3"/>
                  <c:y val="-8.6780314076902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5260252962207002E-3"/>
                  <c:y val="-1.2045034774693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1440437229296752E-4"/>
                  <c:y val="-2.76924980337056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3621507188144485E-3"/>
                  <c:y val="-1.0757619943971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6505297948867524E-3"/>
                  <c:y val="-8.64497998356264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7401142758389066E-3"/>
                  <c:y val="-7.78670342974811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6.0861065206355173E-3"/>
                  <c:y val="-7.78670342974811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7.4898199453463455E-3"/>
                  <c:y val="-1.115370679675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3.7493924370564911E-3"/>
                  <c:y val="-9.4702051132497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7.2107190304914592E-3"/>
                  <c:y val="-2.7361983792430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диаграм.общ.показ.!$B$1:$N$1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диаграм.общ.показ.!$B$4:$N$4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6033176"/>
        <c:axId val="286622224"/>
        <c:axId val="0"/>
      </c:bar3DChart>
      <c:catAx>
        <c:axId val="286033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4798580732963954"/>
              <c:y val="0.79966453688238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62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62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033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0987654320987734E-2"/>
          <c:y val="0.85858585858586201"/>
          <c:w val="0.85699588477366262"/>
          <c:h val="0.122895622895623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0887570708337722"/>
          <c:y val="2.8571428571428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5498458376156232E-2"/>
          <c:y val="0.18319327731092441"/>
          <c:w val="0.93011305241521069"/>
          <c:h val="0.568067226890756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диаграм.общ.показ.!$A$5</c:f>
              <c:strCache>
                <c:ptCount val="1"/>
                <c:pt idx="0">
                  <c:v>Доля объемов природного газа, расчеты за который осуществляются с использованием приборов учета (в части МКД - с использованием индивидуальных и общих приборов учета, в общем объеме природного газа, потребляемого на территории МО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7201312066207499E-3"/>
                  <c:y val="-9.0315181190586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964255367360832E-4"/>
                  <c:y val="-1.909949491607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420999533332241E-3"/>
                  <c:y val="-1.8311652219943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8126529147884994E-3"/>
                  <c:y val="-1.4723394869758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5841580953459573E-3"/>
                  <c:y val="-2.7231301969606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355663275903492E-3"/>
                  <c:y val="-7.4939456097399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1271684564609504E-3"/>
                  <c:y val="-1.429091951741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009562653589223E-2"/>
                  <c:y val="-1.6581397913496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299738611810229E-2"/>
                  <c:y val="-1.0542799797084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8769991880512004E-3"/>
                  <c:y val="-1.8946161141621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7040028269847374E-3"/>
                  <c:y val="-1.3904144334899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3367618616018782E-3"/>
                  <c:y val="-7.18145525926905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16376550053538E-2"/>
                  <c:y val="-7.18145525926905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диаграм.общ.показ.!$B$1:$N$1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диаграм.общ.показ.!$B$5:$N$5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6623008"/>
        <c:axId val="286623400"/>
        <c:axId val="0"/>
      </c:bar3DChart>
      <c:catAx>
        <c:axId val="28662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48047335809642505"/>
              <c:y val="0.79832003352522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623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623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62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5303186022610486E-2"/>
          <c:y val="0.87226890756302822"/>
          <c:w val="0.82939362795478222"/>
          <c:h val="0.114285714285714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8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Динамика изменения муниципального продукта и его энергоемкости</a:t>
            </a:r>
          </a:p>
        </c:rich>
      </c:tx>
      <c:layout>
        <c:manualLayout>
          <c:xMode val="edge"/>
          <c:yMode val="edge"/>
          <c:x val="0.24558145578337454"/>
          <c:y val="2.8428093645484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280572594830157E-2"/>
          <c:y val="0.13879609995239814"/>
          <c:w val="0.62046254613898943"/>
          <c:h val="0.72575310095590517"/>
        </c:manualLayout>
      </c:layout>
      <c:lineChart>
        <c:grouping val="standard"/>
        <c:varyColors val="0"/>
        <c:ser>
          <c:idx val="0"/>
          <c:order val="0"/>
          <c:tx>
            <c:strRef>
              <c:f>диаграмма1!$A$2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диаграмма1!$D$1:$P$1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диаграмма1!$D$2:$P$2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диаграмма1!$A$3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диаграмма1!$D$3:$P$3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диаграмма1!$A$4</c:f>
              <c:strCache>
                <c:ptCount val="1"/>
                <c:pt idx="0">
                  <c:v>Динамика энергоемкости муниципального продукта муниципальных программ области энергосбережения и повышения энергетической эффективности</c:v>
                </c:pt>
              </c:strCache>
            </c:strRef>
          </c:tx>
          <c:spPr>
            <a:ln w="38100">
              <a:solidFill>
                <a:srgbClr val="660066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6600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диаграмма1!$D$4:$P$4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624184"/>
        <c:axId val="286624576"/>
      </c:lineChart>
      <c:catAx>
        <c:axId val="286624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34511646440234728"/>
              <c:y val="0.928094347738305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62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62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624184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306930693069302"/>
          <c:y val="0.33444816053511855"/>
          <c:w val="0.28300330033003296"/>
          <c:h val="0.3879598662207379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0.98425196850393659" l="0" r="0" t="0.98425196850393659" header="0.51181102362204722" footer="0.51181102362204722"/>
    <c:pageSetup paperSize="9" orientation="landscape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204211189860647"/>
          <c:y val="2.81690140845070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0138150903294366E-2"/>
          <c:y val="0.13732394366197184"/>
          <c:w val="0.89798087141339333"/>
          <c:h val="0.646126760563384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'диаграм коммун.инфраструкт'!$A$3</c:f>
              <c:strCache>
                <c:ptCount val="1"/>
                <c:pt idx="0">
                  <c:v>Динамика изменения фактического объема потерь ТЭ при ее передаче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'диаграм коммун.инфраструкт'!$B$1:$N$1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xVal>
          <c:yVal>
            <c:numRef>
              <c:f>'диаграм коммун.инфраструкт'!$B$3:$N$3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700048"/>
        <c:axId val="285700432"/>
      </c:scatterChart>
      <c:valAx>
        <c:axId val="2857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5700432"/>
        <c:crosses val="autoZero"/>
        <c:crossBetween val="midCat"/>
      </c:valAx>
      <c:valAx>
        <c:axId val="28570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5700048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698193411264704"/>
          <c:y val="0.88028169014084512"/>
          <c:w val="0.55579171094580615"/>
          <c:h val="4.40140845070427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83047740051602"/>
          <c:y val="2.81195079086115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369426751592358E-2"/>
          <c:y val="0.13532513181019437"/>
          <c:w val="0.90233545647558988"/>
          <c:h val="0.574692442882249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'диаграм коммун.инфраструкт'!$A$4</c:f>
              <c:strCache>
                <c:ptCount val="1"/>
                <c:pt idx="0">
                  <c:v>Динамика изменения фактического объема потерь воды при ее передаче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'диаграм коммун.инфраструкт'!$B$1:$N$1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xVal>
          <c:yVal>
            <c:numRef>
              <c:f>'диаграм коммун.инфраструкт'!$B$4:$N$4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741056"/>
        <c:axId val="285741440"/>
      </c:scatterChart>
      <c:valAx>
        <c:axId val="2857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5741440"/>
        <c:crosses val="autoZero"/>
        <c:crossBetween val="midCat"/>
      </c:valAx>
      <c:valAx>
        <c:axId val="28574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5741056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36093418259143"/>
          <c:y val="0.843585237258351"/>
          <c:w val="0.56900212314224685"/>
          <c:h val="4.39367311072060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02453775992741"/>
          <c:y val="2.80701754385964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0445418360937885E-2"/>
          <c:y val="0.1350879507400472"/>
          <c:w val="0.90562082947791167"/>
          <c:h val="0.57017641546123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'диаграм коммун.инфраструкт'!$A$5</c:f>
              <c:strCache>
                <c:ptCount val="1"/>
                <c:pt idx="0">
                  <c:v>Динамика изменения объемов ЭЭ, используемой при передаче (транспортировке) воды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'диаграм коммун.инфраструкт'!$B$1:$N$1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xVal>
          <c:yVal>
            <c:numRef>
              <c:f>'диаграм коммун.инфраструкт'!$B$5:$N$5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146752"/>
        <c:axId val="240379744"/>
      </c:scatterChart>
      <c:valAx>
        <c:axId val="28614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0379744"/>
        <c:crosses val="autoZero"/>
        <c:crossBetween val="midCat"/>
      </c:valAx>
      <c:valAx>
        <c:axId val="24037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6146752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85259809119841"/>
          <c:y val="0.84035087719298263"/>
          <c:w val="0.69034994697773067"/>
          <c:h val="4.5614035087719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Доля объемов электроэнергии, потребляемой в жилищном фонде, расчеты за которую осущестляются с использованием приборов учета</a:t>
            </a:r>
          </a:p>
        </c:rich>
      </c:tx>
      <c:layout>
        <c:manualLayout>
          <c:xMode val="edge"/>
          <c:yMode val="edge"/>
          <c:x val="0.11787085549667507"/>
          <c:y val="2.70270270270272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0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4917617237008539E-2"/>
          <c:y val="0.15504978662873486"/>
          <c:w val="0.91001267427122856"/>
          <c:h val="0.553342816500715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диаграм.жил.фонд!$A$3</c:f>
              <c:strCache>
                <c:ptCount val="1"/>
                <c:pt idx="0">
                  <c:v>Доля объемов ЭЭ, потребляемой в жилых домах (за исключением МКД), расчеты за которую осуществляются с использованием приборов учета, в общем объеме ЭЭ, потребляемой в жилых домах (за исключением МКД) на территории МО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диаграм.жил.фонд!$B$2:$N$2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диаграм.жил.фонд!$B$3:$N$3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диаграм.жил.фонд!$A$4</c:f>
              <c:strCache>
                <c:ptCount val="1"/>
                <c:pt idx="0">
                  <c:v>Доля объемов ЭЭ, потребляемой в МКД, расчеты за которую осуществляются с использованием коллективных (общедомовых) приборов учета, в общем объеме ЭЭ, потребляемой в МКД на территории МО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диаграм.жил.фонд!$B$4:$N$4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0381312"/>
        <c:axId val="241446856"/>
        <c:axId val="0"/>
      </c:bar3DChart>
      <c:catAx>
        <c:axId val="24038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48922686945500893"/>
              <c:y val="0.745376955903271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446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446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% установки приборов учета</a:t>
                </a:r>
              </a:p>
            </c:rich>
          </c:tx>
          <c:layout>
            <c:manualLayout>
              <c:xMode val="edge"/>
              <c:yMode val="edge"/>
              <c:x val="8.8720031669045227E-2"/>
              <c:y val="0.426742830688126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0381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7591888466413548E-2"/>
          <c:y val="0.78805120910384063"/>
          <c:w val="0.80988593155893562"/>
          <c:h val="0.1650071123755334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Доля объемов тепловой энергии, потребляемой в жилищном фонде, расчеты за которую осуществляются с использованием приборов учета</a:t>
            </a:r>
          </a:p>
        </c:rich>
      </c:tx>
      <c:layout>
        <c:manualLayout>
          <c:xMode val="edge"/>
          <c:yMode val="edge"/>
          <c:x val="0.11012671517326172"/>
          <c:y val="2.77777777777780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2151898734177211E-2"/>
          <c:y val="0.15643274853801256"/>
          <c:w val="0.92278481012658775"/>
          <c:h val="0.523391812865501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диаграм.жил.фонд!$A$6</c:f>
              <c:strCache>
                <c:ptCount val="1"/>
                <c:pt idx="0">
                  <c:v>Доля объемов ТЭ, потребляемой в жилых домах, расчеты за которую осуществляются с использованием приборов учета, в общем объеме ТЭ, потребляемой (используемой) в жилых домах на территории МО (за исключением МКД)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диаграм.жил.фонд!$B$2:$N$2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диаграм.жил.фонд!$B$6:$N$6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диаграм.жил.фонд!$A$7</c:f>
              <c:strCache>
                <c:ptCount val="1"/>
                <c:pt idx="0">
                  <c:v>Доля объемов ТЭ, потребляемой в  МКД, оплата которой осуществляется с использованием коллективных (общедомовых) приборов учета, в общем объеме ТЭ, потребляемой в МКД на территории МО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диаграм.жил.фонд!$B$7:$N$7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1447640"/>
        <c:axId val="241446464"/>
        <c:axId val="0"/>
      </c:bar3DChart>
      <c:catAx>
        <c:axId val="241447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47848101265822784"/>
              <c:y val="0.71929824561403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44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44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% установки приборов учета</a:t>
                </a:r>
              </a:p>
            </c:rich>
          </c:tx>
          <c:layout>
            <c:manualLayout>
              <c:xMode val="edge"/>
              <c:yMode val="edge"/>
              <c:x val="1.0622146915179898E-2"/>
              <c:y val="0.372807478012619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447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9873417721518981E-2"/>
          <c:y val="0.79385964912280704"/>
          <c:w val="0.82405063291139591"/>
          <c:h val="0.169590643274853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Доля объемов воды, потребляемой в жилищном фонде, расчеты за которую осуществляются с использованием приборов учета</a:t>
            </a:r>
          </a:p>
        </c:rich>
      </c:tx>
      <c:layout>
        <c:manualLayout>
          <c:xMode val="edge"/>
          <c:yMode val="edge"/>
          <c:x val="0.11883691529709205"/>
          <c:y val="2.773722627737243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9.2288242730720602E-2"/>
          <c:y val="0.15474452554744675"/>
          <c:w val="0.90265486725663713"/>
          <c:h val="0.548905109489051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диаграм.жил.фонд!$A$9</c:f>
              <c:strCache>
                <c:ptCount val="1"/>
                <c:pt idx="0">
                  <c:v>Доля объемов воды, потребляемой в жилых домах (за исключением МКД), расчеты за которую осуществляются с использованием приборов учета, в общем объеме воды, потребляемой (используемой) в жилых домах (за исключением МКД) на территории МО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диаграм.жил.фонд!$B$2:$N$2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диаграм.жил.фонд!$B$9:$N$9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диаграм.жил.фонд!$A$10</c:f>
              <c:strCache>
                <c:ptCount val="1"/>
                <c:pt idx="0">
                  <c:v>Доля объемов воды, потребляемой (используемой) в МКД, расчеты за которую осуществляются с использованием коллективных (общедомовых) приборов учета, в общем объеме воды, потребляемой (используемой) в МКД на территории МО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диаграм.жил.фонд!$B$10:$N$10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1448424"/>
        <c:axId val="241448816"/>
        <c:axId val="0"/>
      </c:bar3DChart>
      <c:catAx>
        <c:axId val="241448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48040455120101289"/>
              <c:y val="0.73284671532847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44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44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% установки приборов учета</a:t>
                </a:r>
              </a:p>
            </c:rich>
          </c:tx>
          <c:layout>
            <c:manualLayout>
              <c:xMode val="edge"/>
              <c:yMode val="edge"/>
              <c:x val="1.0606063622578151E-2"/>
              <c:y val="0.370803226239058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1448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024020227560676E-2"/>
          <c:y val="0.77080291970802961"/>
          <c:w val="0.82300884955752263"/>
          <c:h val="0.159124087591242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Доля объемов природного газа, потребляемого в жилищном фонде, расчеты за который осуществляются с использованием приборов учета</a:t>
            </a:r>
          </a:p>
        </c:rich>
      </c:tx>
      <c:layout>
        <c:manualLayout>
          <c:xMode val="edge"/>
          <c:yMode val="edge"/>
          <c:x val="0.10984861740767252"/>
          <c:y val="2.769677133731777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6262658645363118"/>
          <c:y val="0.20481942772513084"/>
          <c:w val="0.73232413530339791"/>
          <c:h val="0.5105425441089588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диаграм.жил.фонд!$A$12</c:f>
              <c:strCache>
                <c:ptCount val="1"/>
                <c:pt idx="0">
                  <c:v>Доля объемов природного газа, потребляемого (используемого) в жилых домах (за исключением МКД), расчеты за который осуществляются с использованием приборов учета, в общем объеме природного газа, потребляемого (используемого) в жилых домах (за исключением 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диаграм.жил.фонд!$B$2:$N$2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диаграм.жил.фонд!$B$12:$N$12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диаграм.жил.фонд!$A$13</c:f>
              <c:strCache>
                <c:ptCount val="1"/>
                <c:pt idx="0">
                  <c:v>Доля объемов природного газа, потребляемого (используемого) в МКД, расчеты за который осуществляются с использованием индивидуальных и общих (для коммунальной квартиры) приборов учета, в общем объеме природного газа, потребляемого (используемого) в МКД на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диаграм.жил.фонд!$B$13:$N$13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0380528"/>
        <c:axId val="240379352"/>
        <c:axId val="0"/>
      </c:bar3DChart>
      <c:catAx>
        <c:axId val="24038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60621384448156101"/>
              <c:y val="0.75353887992916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379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379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uk-UA"/>
                  <a:t>% установки приборов учета</a:t>
                </a:r>
              </a:p>
            </c:rich>
          </c:tx>
          <c:layout>
            <c:manualLayout>
              <c:xMode val="edge"/>
              <c:yMode val="edge"/>
              <c:x val="1.2102918953312653E-2"/>
              <c:y val="0.3717201087815830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0380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2592725151780297E-2"/>
          <c:y val="0.79467934731050571"/>
          <c:w val="0.82197075744320303"/>
          <c:h val="0.201807387028429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uk-UA"/>
              <a:t>Доля объемов ТЭР, расчеты за которые осуществляются с помощью приборов учета</a:t>
            </a:r>
          </a:p>
        </c:rich>
      </c:tx>
      <c:layout>
        <c:manualLayout>
          <c:xMode val="edge"/>
          <c:yMode val="edge"/>
          <c:x val="0.14092445340884124"/>
          <c:y val="2.71903323262840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876847290640411E-2"/>
          <c:y val="0.12537764350453168"/>
          <c:w val="0.91133004926108352"/>
          <c:h val="0.510574018126888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диаграм.бюджет.сфера!$A$3</c:f>
              <c:strCache>
                <c:ptCount val="1"/>
                <c:pt idx="0">
                  <c:v>Доля объемов ЭЭ, потребляемой БУ, расчеты за которую осуществляются с использованием приборов учета, в общем объеме ЭЭ, потребляемой БУ на территории МО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диаграм.бюджет.сфера!$B$2:$N$2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диаграм.бюджет.сфера!$B$3:$N$3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диаграм.бюджет.сфера!$A$4</c:f>
              <c:strCache>
                <c:ptCount val="1"/>
                <c:pt idx="0">
                  <c:v>Доля объемов ТЭ, потребляемой БУ, расчеты за которую осуществляются с использованием приборов учета, в общем объеме ТЭ, потребляемой БУ на территории МО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диаграм.бюджет.сфера!$B$2:$N$2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диаграм.бюджет.сфера!$B$4:$N$4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tx>
            <c:strRef>
              <c:f>диаграм.бюджет.сфера!$A$5</c:f>
              <c:strCache>
                <c:ptCount val="1"/>
                <c:pt idx="0">
                  <c:v>Доля объемов воды, потребляемой БУ, расчеты за которую осуществляются с использованием приборов учета, в общем объеме воды, потребляемой БУ на территории МО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диаграм.бюджет.сфера!$B$2:$N$2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диаграм.бюджет.сфера!$B$5:$N$5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3"/>
          <c:order val="3"/>
          <c:tx>
            <c:strRef>
              <c:f>диаграм.бюджет.сфера!$A$6</c:f>
              <c:strCache>
                <c:ptCount val="1"/>
                <c:pt idx="0">
                  <c:v>Доля объемов природного газа, потребляемого БУ, расчеты за который осуществляются с использованием приборов учета, в общем объеме природного газа, потребляемого БУ на территории МО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диаграм.бюджет.сфера!$B$2:$N$2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диаграм.бюджет.сфера!$B$6:$N$6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0378568"/>
        <c:axId val="240378176"/>
        <c:axId val="0"/>
      </c:bar3DChart>
      <c:catAx>
        <c:axId val="240378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Годы</a:t>
                </a:r>
              </a:p>
            </c:rich>
          </c:tx>
          <c:layout>
            <c:manualLayout>
              <c:xMode val="edge"/>
              <c:yMode val="edge"/>
              <c:x val="0.49830888380332089"/>
              <c:y val="0.66918429003021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037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37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%</a:t>
                </a:r>
              </a:p>
            </c:rich>
          </c:tx>
          <c:layout>
            <c:manualLayout>
              <c:xMode val="edge"/>
              <c:yMode val="edge"/>
              <c:x val="7.8917652534812491E-2"/>
              <c:y val="0.353474320241693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40378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980295566502466E-2"/>
          <c:y val="0.73867069486405179"/>
          <c:w val="0.86600985221675431"/>
          <c:h val="0.253776435045317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57150</xdr:rowOff>
    </xdr:from>
    <xdr:to>
      <xdr:col>11</xdr:col>
      <xdr:colOff>361950</xdr:colOff>
      <xdr:row>36</xdr:row>
      <xdr:rowOff>66675</xdr:rowOff>
    </xdr:to>
    <xdr:graphicFrame macro="">
      <xdr:nvGraphicFramePr>
        <xdr:cNvPr id="3936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342900</xdr:colOff>
      <xdr:row>72</xdr:row>
      <xdr:rowOff>66675</xdr:rowOff>
    </xdr:to>
    <xdr:graphicFrame macro="">
      <xdr:nvGraphicFramePr>
        <xdr:cNvPr id="39360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11</xdr:col>
      <xdr:colOff>352425</xdr:colOff>
      <xdr:row>106</xdr:row>
      <xdr:rowOff>76200</xdr:rowOff>
    </xdr:to>
    <xdr:graphicFrame macro="">
      <xdr:nvGraphicFramePr>
        <xdr:cNvPr id="39360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107</xdr:row>
      <xdr:rowOff>0</xdr:rowOff>
    </xdr:from>
    <xdr:to>
      <xdr:col>11</xdr:col>
      <xdr:colOff>361950</xdr:colOff>
      <xdr:row>140</xdr:row>
      <xdr:rowOff>85725</xdr:rowOff>
    </xdr:to>
    <xdr:graphicFrame macro="">
      <xdr:nvGraphicFramePr>
        <xdr:cNvPr id="393608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47625</xdr:rowOff>
    </xdr:from>
    <xdr:to>
      <xdr:col>9</xdr:col>
      <xdr:colOff>114300</xdr:colOff>
      <xdr:row>54</xdr:row>
      <xdr:rowOff>76200</xdr:rowOff>
    </xdr:to>
    <xdr:graphicFrame macro="">
      <xdr:nvGraphicFramePr>
        <xdr:cNvPr id="3941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9</xdr:col>
      <xdr:colOff>57150</xdr:colOff>
      <xdr:row>95</xdr:row>
      <xdr:rowOff>38100</xdr:rowOff>
    </xdr:to>
    <xdr:graphicFrame macro="">
      <xdr:nvGraphicFramePr>
        <xdr:cNvPr id="39412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96</xdr:row>
      <xdr:rowOff>0</xdr:rowOff>
    </xdr:from>
    <xdr:to>
      <xdr:col>9</xdr:col>
      <xdr:colOff>66675</xdr:colOff>
      <xdr:row>136</xdr:row>
      <xdr:rowOff>47625</xdr:rowOff>
    </xdr:to>
    <xdr:graphicFrame macro="">
      <xdr:nvGraphicFramePr>
        <xdr:cNvPr id="39412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138</xdr:row>
      <xdr:rowOff>47625</xdr:rowOff>
    </xdr:from>
    <xdr:to>
      <xdr:col>9</xdr:col>
      <xdr:colOff>76200</xdr:colOff>
      <xdr:row>177</xdr:row>
      <xdr:rowOff>57150</xdr:rowOff>
    </xdr:to>
    <xdr:graphicFrame macro="">
      <xdr:nvGraphicFramePr>
        <xdr:cNvPr id="39412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152400</xdr:rowOff>
    </xdr:from>
    <xdr:to>
      <xdr:col>13</xdr:col>
      <xdr:colOff>238125</xdr:colOff>
      <xdr:row>44</xdr:row>
      <xdr:rowOff>114300</xdr:rowOff>
    </xdr:to>
    <xdr:graphicFrame macro="">
      <xdr:nvGraphicFramePr>
        <xdr:cNvPr id="76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152400</xdr:rowOff>
    </xdr:from>
    <xdr:to>
      <xdr:col>13</xdr:col>
      <xdr:colOff>238125</xdr:colOff>
      <xdr:row>44</xdr:row>
      <xdr:rowOff>114300</xdr:rowOff>
    </xdr:to>
    <xdr:graphicFrame macro="">
      <xdr:nvGraphicFramePr>
        <xdr:cNvPr id="66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76200</xdr:rowOff>
    </xdr:from>
    <xdr:to>
      <xdr:col>8</xdr:col>
      <xdr:colOff>533400</xdr:colOff>
      <xdr:row>33</xdr:row>
      <xdr:rowOff>114300</xdr:rowOff>
    </xdr:to>
    <xdr:graphicFrame macro="">
      <xdr:nvGraphicFramePr>
        <xdr:cNvPr id="3948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8</xdr:col>
      <xdr:colOff>485775</xdr:colOff>
      <xdr:row>63</xdr:row>
      <xdr:rowOff>47625</xdr:rowOff>
    </xdr:to>
    <xdr:graphicFrame macro="">
      <xdr:nvGraphicFramePr>
        <xdr:cNvPr id="39483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8</xdr:col>
      <xdr:colOff>495300</xdr:colOff>
      <xdr:row>92</xdr:row>
      <xdr:rowOff>57150</xdr:rowOff>
    </xdr:to>
    <xdr:graphicFrame macro="">
      <xdr:nvGraphicFramePr>
        <xdr:cNvPr id="3948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8</xdr:col>
      <xdr:colOff>504825</xdr:colOff>
      <xdr:row>121</xdr:row>
      <xdr:rowOff>66675</xdr:rowOff>
    </xdr:to>
    <xdr:graphicFrame macro="">
      <xdr:nvGraphicFramePr>
        <xdr:cNvPr id="39483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0</xdr:rowOff>
    </xdr:from>
    <xdr:to>
      <xdr:col>16</xdr:col>
      <xdr:colOff>0</xdr:colOff>
      <xdr:row>40</xdr:row>
      <xdr:rowOff>0</xdr:rowOff>
    </xdr:to>
    <xdr:graphicFrame macro="">
      <xdr:nvGraphicFramePr>
        <xdr:cNvPr id="45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133" workbookViewId="0">
      <selection activeCell="B1" sqref="B1:N5"/>
    </sheetView>
  </sheetViews>
  <sheetFormatPr defaultRowHeight="12.75" x14ac:dyDescent="0.2"/>
  <cols>
    <col min="1" max="1" width="31.85546875" style="216" customWidth="1"/>
    <col min="2" max="2" width="9.140625" style="216"/>
    <col min="3" max="3" width="15.140625" style="216" customWidth="1"/>
    <col min="4" max="16384" width="9.140625" style="216"/>
  </cols>
  <sheetData>
    <row r="1" spans="1:14" x14ac:dyDescent="0.2">
      <c r="A1" s="215"/>
      <c r="B1" s="469">
        <f>'расчет показат'!E4</f>
        <v>2007</v>
      </c>
      <c r="C1" s="469">
        <f>'расчет показат'!F4</f>
        <v>2008</v>
      </c>
      <c r="D1" s="469">
        <f>'расчет показат'!G4</f>
        <v>2009</v>
      </c>
      <c r="E1" s="469">
        <f>'расчет показат'!H4</f>
        <v>2010</v>
      </c>
      <c r="F1" s="469">
        <f>'расчет показат'!I4</f>
        <v>2011</v>
      </c>
      <c r="G1" s="469">
        <f>'расчет показат'!J4</f>
        <v>2012</v>
      </c>
      <c r="H1" s="469">
        <f>'расчет показат'!K4</f>
        <v>2013</v>
      </c>
      <c r="I1" s="469">
        <f>'расчет показат'!L4</f>
        <v>2014</v>
      </c>
      <c r="J1" s="469">
        <f>'расчет показат'!M4</f>
        <v>2015</v>
      </c>
      <c r="K1" s="469">
        <f>'расчет показат'!N4</f>
        <v>2016</v>
      </c>
      <c r="L1" s="469">
        <f>'расчет показат'!O4</f>
        <v>2017</v>
      </c>
      <c r="M1" s="469">
        <f>'расчет показат'!P4</f>
        <v>2018</v>
      </c>
      <c r="N1" s="469">
        <f>'расчет показат'!Q4</f>
        <v>2019</v>
      </c>
    </row>
    <row r="2" spans="1:14" ht="41.25" customHeight="1" x14ac:dyDescent="0.2">
      <c r="A2" s="217" t="str">
        <f>'расчет показат'!B117</f>
        <v>Динамика изменения фактического объема потерь ЭЭ при ее передаче по распределительным сетям</v>
      </c>
      <c r="B2" s="470" t="e">
        <f>#REF!</f>
        <v>#REF!</v>
      </c>
      <c r="C2" s="470" t="e">
        <f>#REF!</f>
        <v>#REF!</v>
      </c>
      <c r="D2" s="470" t="e">
        <f>#REF!</f>
        <v>#REF!</v>
      </c>
      <c r="E2" s="470" t="e">
        <f>#REF!</f>
        <v>#REF!</v>
      </c>
      <c r="F2" s="470" t="e">
        <f>#REF!</f>
        <v>#REF!</v>
      </c>
      <c r="G2" s="470" t="e">
        <f>#REF!</f>
        <v>#REF!</v>
      </c>
      <c r="H2" s="470" t="e">
        <f>#REF!</f>
        <v>#REF!</v>
      </c>
      <c r="I2" s="470" t="e">
        <f>#REF!</f>
        <v>#REF!</v>
      </c>
      <c r="J2" s="470" t="e">
        <f>#REF!</f>
        <v>#REF!</v>
      </c>
      <c r="K2" s="470" t="e">
        <f>#REF!</f>
        <v>#REF!</v>
      </c>
      <c r="L2" s="470" t="e">
        <f>#REF!</f>
        <v>#REF!</v>
      </c>
      <c r="M2" s="470" t="e">
        <f>#REF!</f>
        <v>#REF!</v>
      </c>
      <c r="N2" s="470" t="e">
        <f>#REF!</f>
        <v>#REF!</v>
      </c>
    </row>
    <row r="3" spans="1:14" ht="26.25" customHeight="1" x14ac:dyDescent="0.2">
      <c r="A3" s="217" t="str">
        <f>'расчет показат'!B118</f>
        <v>Динамика изменения фактического объема потерь ТЭ при ее передаче</v>
      </c>
      <c r="B3" s="470" t="e">
        <f>#REF!</f>
        <v>#REF!</v>
      </c>
      <c r="C3" s="470" t="e">
        <f>#REF!</f>
        <v>#REF!</v>
      </c>
      <c r="D3" s="470" t="e">
        <f>#REF!</f>
        <v>#REF!</v>
      </c>
      <c r="E3" s="470" t="e">
        <f>#REF!</f>
        <v>#REF!</v>
      </c>
      <c r="F3" s="470" t="e">
        <f>#REF!</f>
        <v>#REF!</v>
      </c>
      <c r="G3" s="470" t="e">
        <f>#REF!</f>
        <v>#REF!</v>
      </c>
      <c r="H3" s="470" t="e">
        <f>#REF!</f>
        <v>#REF!</v>
      </c>
      <c r="I3" s="470" t="e">
        <f>#REF!</f>
        <v>#REF!</v>
      </c>
      <c r="J3" s="470" t="e">
        <f>#REF!</f>
        <v>#REF!</v>
      </c>
      <c r="K3" s="470" t="e">
        <f>#REF!</f>
        <v>#REF!</v>
      </c>
      <c r="L3" s="470" t="e">
        <f>#REF!</f>
        <v>#REF!</v>
      </c>
      <c r="M3" s="470" t="e">
        <f>#REF!</f>
        <v>#REF!</v>
      </c>
      <c r="N3" s="470" t="e">
        <f>#REF!</f>
        <v>#REF!</v>
      </c>
    </row>
    <row r="4" spans="1:14" ht="25.5" x14ac:dyDescent="0.2">
      <c r="A4" s="217" t="str">
        <f>'расчет показат'!B119</f>
        <v>Динамика изменения фактического объема потерь воды при ее передаче</v>
      </c>
      <c r="B4" s="470" t="e">
        <f>#REF!</f>
        <v>#REF!</v>
      </c>
      <c r="C4" s="470" t="e">
        <f>#REF!</f>
        <v>#REF!</v>
      </c>
      <c r="D4" s="470" t="e">
        <f>#REF!</f>
        <v>#REF!</v>
      </c>
      <c r="E4" s="470" t="e">
        <f>#REF!</f>
        <v>#REF!</v>
      </c>
      <c r="F4" s="470" t="e">
        <f>#REF!</f>
        <v>#REF!</v>
      </c>
      <c r="G4" s="470" t="e">
        <f>#REF!</f>
        <v>#REF!</v>
      </c>
      <c r="H4" s="470" t="e">
        <f>#REF!</f>
        <v>#REF!</v>
      </c>
      <c r="I4" s="470" t="e">
        <f>#REF!</f>
        <v>#REF!</v>
      </c>
      <c r="J4" s="470" t="e">
        <f>#REF!</f>
        <v>#REF!</v>
      </c>
      <c r="K4" s="470" t="e">
        <f>#REF!</f>
        <v>#REF!</v>
      </c>
      <c r="L4" s="470" t="e">
        <f>#REF!</f>
        <v>#REF!</v>
      </c>
      <c r="M4" s="470" t="e">
        <f>#REF!</f>
        <v>#REF!</v>
      </c>
      <c r="N4" s="470" t="e">
        <f>#REF!</f>
        <v>#REF!</v>
      </c>
    </row>
    <row r="5" spans="1:14" ht="37.5" customHeight="1" x14ac:dyDescent="0.2">
      <c r="A5" s="217" t="str">
        <f>'расчет показат'!B120</f>
        <v>Динамика изменения объемов ЭЭ, используемой при передаче (транспортировке) воды</v>
      </c>
      <c r="B5" s="470" t="e">
        <f>#REF!</f>
        <v>#REF!</v>
      </c>
      <c r="C5" s="470" t="e">
        <f>#REF!</f>
        <v>#REF!</v>
      </c>
      <c r="D5" s="470" t="e">
        <f>#REF!</f>
        <v>#REF!</v>
      </c>
      <c r="E5" s="470" t="e">
        <f>#REF!</f>
        <v>#REF!</v>
      </c>
      <c r="F5" s="470" t="e">
        <f>#REF!</f>
        <v>#REF!</v>
      </c>
      <c r="G5" s="470" t="e">
        <f>#REF!</f>
        <v>#REF!</v>
      </c>
      <c r="H5" s="470" t="e">
        <f>#REF!</f>
        <v>#REF!</v>
      </c>
      <c r="I5" s="470" t="e">
        <f>#REF!</f>
        <v>#REF!</v>
      </c>
      <c r="J5" s="470" t="e">
        <f>#REF!</f>
        <v>#REF!</v>
      </c>
      <c r="K5" s="470" t="e">
        <f>#REF!</f>
        <v>#REF!</v>
      </c>
      <c r="L5" s="470" t="e">
        <f>#REF!</f>
        <v>#REF!</v>
      </c>
      <c r="M5" s="470" t="e">
        <f>#REF!</f>
        <v>#REF!</v>
      </c>
      <c r="N5" s="470" t="e">
        <f>#REF!</f>
        <v>#REF!</v>
      </c>
    </row>
    <row r="26" spans="4:6" ht="15.75" thickBot="1" x14ac:dyDescent="0.3">
      <c r="D26" s="249" t="s">
        <v>0</v>
      </c>
    </row>
    <row r="27" spans="4:6" ht="15" x14ac:dyDescent="0.25">
      <c r="D27" s="249" t="s">
        <v>1</v>
      </c>
      <c r="F27" s="243"/>
    </row>
    <row r="28" spans="4:6" ht="15" x14ac:dyDescent="0.25">
      <c r="D28" s="249" t="s">
        <v>2</v>
      </c>
      <c r="F28" s="244"/>
    </row>
    <row r="29" spans="4:6" ht="15.75" thickBot="1" x14ac:dyDescent="0.3">
      <c r="D29" s="249" t="s">
        <v>3</v>
      </c>
      <c r="F29" s="245"/>
    </row>
    <row r="35" spans="4:4" ht="15" x14ac:dyDescent="0.25">
      <c r="D35" s="249" t="s">
        <v>103</v>
      </c>
    </row>
    <row r="36" spans="4:4" ht="15" x14ac:dyDescent="0.25">
      <c r="D36" s="249" t="s">
        <v>106</v>
      </c>
    </row>
    <row r="41" spans="4:4" x14ac:dyDescent="0.2">
      <c r="D41" s="252"/>
    </row>
  </sheetData>
  <sheetProtection password="CF6E" sheet="1" objects="1" scenarios="1" selectLockedCells="1" selectUnlockedCells="1"/>
  <phoneticPr fontId="24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opLeftCell="C13" workbookViewId="0">
      <selection activeCell="S22" sqref="S22"/>
    </sheetView>
  </sheetViews>
  <sheetFormatPr defaultRowHeight="12.75" x14ac:dyDescent="0.2"/>
  <cols>
    <col min="1" max="1" width="17" style="216" customWidth="1"/>
    <col min="2" max="2" width="10.42578125" style="216" customWidth="1"/>
    <col min="3" max="3" width="15.140625" style="216" customWidth="1"/>
    <col min="4" max="5" width="9.140625" style="216"/>
    <col min="6" max="6" width="12.28515625" style="216" customWidth="1"/>
    <col min="7" max="8" width="9.140625" style="216"/>
    <col min="9" max="9" width="17.5703125" style="216" customWidth="1"/>
    <col min="10" max="12" width="9.140625" style="216"/>
    <col min="13" max="13" width="12" style="216" customWidth="1"/>
    <col min="14" max="16" width="9.140625" style="216"/>
    <col min="17" max="17" width="19.85546875" style="216" customWidth="1"/>
    <col min="18" max="27" width="9.140625" style="216"/>
    <col min="28" max="28" width="9.7109375" style="216" customWidth="1"/>
    <col min="29" max="16384" width="9.140625" style="216"/>
  </cols>
  <sheetData>
    <row r="1" spans="1:30" ht="45.75" customHeight="1" thickBot="1" x14ac:dyDescent="0.25">
      <c r="A1" s="702" t="s">
        <v>417</v>
      </c>
      <c r="B1" s="705" t="s">
        <v>286</v>
      </c>
      <c r="C1" s="706"/>
      <c r="D1" s="706"/>
      <c r="E1" s="706"/>
      <c r="F1" s="707"/>
      <c r="H1" s="461"/>
      <c r="I1" s="692" t="s">
        <v>417</v>
      </c>
      <c r="J1" s="691" t="s">
        <v>287</v>
      </c>
      <c r="K1" s="692"/>
      <c r="L1" s="692"/>
      <c r="M1" s="692"/>
      <c r="N1" s="693"/>
      <c r="Q1" s="721" t="s">
        <v>417</v>
      </c>
      <c r="R1" s="692" t="s">
        <v>288</v>
      </c>
      <c r="S1" s="692"/>
      <c r="T1" s="692"/>
      <c r="U1" s="692"/>
      <c r="V1" s="693"/>
      <c r="Y1" s="415" t="s">
        <v>417</v>
      </c>
      <c r="Z1" s="416" t="s">
        <v>454</v>
      </c>
      <c r="AA1" s="416"/>
      <c r="AB1" s="416"/>
      <c r="AC1" s="416"/>
      <c r="AD1" s="417"/>
    </row>
    <row r="2" spans="1:30" ht="75.75" customHeight="1" thickBot="1" x14ac:dyDescent="0.25">
      <c r="A2" s="703"/>
      <c r="B2" s="708" t="s">
        <v>418</v>
      </c>
      <c r="C2" s="710" t="s">
        <v>419</v>
      </c>
      <c r="D2" s="711"/>
      <c r="E2" s="710" t="s">
        <v>420</v>
      </c>
      <c r="F2" s="711"/>
      <c r="H2" s="462"/>
      <c r="I2" s="698"/>
      <c r="J2" s="696" t="s">
        <v>418</v>
      </c>
      <c r="K2" s="694" t="s">
        <v>419</v>
      </c>
      <c r="L2" s="695"/>
      <c r="M2" s="700" t="s">
        <v>420</v>
      </c>
      <c r="N2" s="701"/>
      <c r="Q2" s="722"/>
      <c r="R2" s="724" t="s">
        <v>418</v>
      </c>
      <c r="S2" s="726" t="s">
        <v>419</v>
      </c>
      <c r="T2" s="727"/>
      <c r="U2" s="726" t="s">
        <v>420</v>
      </c>
      <c r="V2" s="727"/>
      <c r="Y2" s="418"/>
      <c r="Z2" s="214" t="s">
        <v>418</v>
      </c>
      <c r="AA2" s="214" t="s">
        <v>419</v>
      </c>
      <c r="AB2" s="214"/>
      <c r="AC2" s="214" t="s">
        <v>420</v>
      </c>
      <c r="AD2" s="419"/>
    </row>
    <row r="3" spans="1:30" ht="30.75" thickBot="1" x14ac:dyDescent="0.25">
      <c r="A3" s="704"/>
      <c r="B3" s="709"/>
      <c r="C3" s="449" t="s">
        <v>509</v>
      </c>
      <c r="D3" s="449" t="s">
        <v>15</v>
      </c>
      <c r="E3" s="449" t="s">
        <v>421</v>
      </c>
      <c r="F3" s="449" t="s">
        <v>422</v>
      </c>
      <c r="H3" s="463">
        <v>2007</v>
      </c>
      <c r="I3" s="699"/>
      <c r="J3" s="697"/>
      <c r="K3" s="459" t="s">
        <v>509</v>
      </c>
      <c r="L3" s="460" t="s">
        <v>15</v>
      </c>
      <c r="M3" s="459" t="s">
        <v>421</v>
      </c>
      <c r="N3" s="460" t="s">
        <v>422</v>
      </c>
      <c r="Q3" s="723"/>
      <c r="R3" s="725"/>
      <c r="S3" s="453" t="s">
        <v>509</v>
      </c>
      <c r="T3" s="453" t="s">
        <v>15</v>
      </c>
      <c r="U3" s="465" t="s">
        <v>421</v>
      </c>
      <c r="V3" s="453" t="s">
        <v>422</v>
      </c>
      <c r="Y3" s="418"/>
      <c r="Z3" s="214"/>
      <c r="AA3" s="214" t="s">
        <v>509</v>
      </c>
      <c r="AB3" s="214" t="s">
        <v>15</v>
      </c>
      <c r="AC3" s="214" t="s">
        <v>421</v>
      </c>
      <c r="AD3" s="419" t="s">
        <v>422</v>
      </c>
    </row>
    <row r="4" spans="1:30" ht="51" x14ac:dyDescent="0.25">
      <c r="A4" s="688" t="s">
        <v>423</v>
      </c>
      <c r="B4" s="422" t="e">
        <f>#REF!</f>
        <v>#REF!</v>
      </c>
      <c r="C4" s="423" t="e">
        <f>B4*0.123</f>
        <v>#REF!</v>
      </c>
      <c r="D4" s="422" t="e">
        <f>C4/C17*100</f>
        <v>#REF!</v>
      </c>
      <c r="E4" s="422"/>
      <c r="F4" s="422"/>
      <c r="H4" s="454"/>
      <c r="I4" s="451" t="s">
        <v>423</v>
      </c>
      <c r="J4" s="454" t="e">
        <f>#REF!</f>
        <v>#REF!</v>
      </c>
      <c r="K4" s="451" t="e">
        <f>J4*0.123</f>
        <v>#REF!</v>
      </c>
      <c r="L4" s="454" t="e">
        <f>K4/K17*100</f>
        <v>#REF!</v>
      </c>
      <c r="M4" s="451"/>
      <c r="N4" s="454"/>
      <c r="Q4" s="454" t="s">
        <v>423</v>
      </c>
      <c r="R4" s="451" t="e">
        <f>#REF!</f>
        <v>#REF!</v>
      </c>
      <c r="S4" s="454" t="e">
        <f>R4*0.123</f>
        <v>#REF!</v>
      </c>
      <c r="T4" s="454" t="e">
        <f>S4/S17*100</f>
        <v>#REF!</v>
      </c>
      <c r="U4" s="451"/>
      <c r="V4" s="454"/>
      <c r="Y4" s="418" t="s">
        <v>423</v>
      </c>
      <c r="Z4" s="218" t="e">
        <f>#REF!</f>
        <v>#REF!</v>
      </c>
      <c r="AA4" s="214" t="e">
        <f>Z4*0.123</f>
        <v>#REF!</v>
      </c>
      <c r="AB4" s="214" t="e">
        <f>AA4/AA17*100</f>
        <v>#REF!</v>
      </c>
      <c r="AC4" s="214"/>
      <c r="AD4" s="419"/>
    </row>
    <row r="5" spans="1:30" ht="15" x14ac:dyDescent="0.25">
      <c r="A5" s="689"/>
      <c r="B5" s="422"/>
      <c r="C5" s="424"/>
      <c r="D5" s="422"/>
      <c r="E5" s="422"/>
      <c r="F5" s="422"/>
      <c r="H5" s="455"/>
      <c r="I5" s="450" t="s">
        <v>435</v>
      </c>
      <c r="J5" s="455"/>
      <c r="K5" s="450"/>
      <c r="L5" s="455"/>
      <c r="M5" s="450"/>
      <c r="N5" s="455"/>
      <c r="Q5" s="455"/>
      <c r="R5" s="450"/>
      <c r="S5" s="455"/>
      <c r="T5" s="455"/>
      <c r="U5" s="450"/>
      <c r="V5" s="455"/>
      <c r="Y5" s="418"/>
      <c r="Z5" s="214"/>
      <c r="AA5" s="214"/>
      <c r="AB5" s="214"/>
      <c r="AC5" s="214"/>
      <c r="AD5" s="419"/>
    </row>
    <row r="6" spans="1:30" ht="15" x14ac:dyDescent="0.25">
      <c r="A6" s="689"/>
      <c r="B6" s="425"/>
      <c r="C6" s="425"/>
      <c r="D6" s="422"/>
      <c r="E6" s="425"/>
      <c r="F6" s="425"/>
      <c r="H6" s="455"/>
      <c r="I6" s="450"/>
      <c r="J6" s="455"/>
      <c r="K6" s="450"/>
      <c r="L6" s="455"/>
      <c r="M6" s="450"/>
      <c r="N6" s="455"/>
      <c r="Q6" s="455" t="s">
        <v>435</v>
      </c>
      <c r="R6" s="450"/>
      <c r="S6" s="455"/>
      <c r="T6" s="455"/>
      <c r="U6" s="450"/>
      <c r="V6" s="455"/>
      <c r="Y6" s="418" t="s">
        <v>435</v>
      </c>
      <c r="Z6" s="214"/>
      <c r="AA6" s="214"/>
      <c r="AB6" s="214"/>
      <c r="AC6" s="214"/>
      <c r="AD6" s="419"/>
    </row>
    <row r="7" spans="1:30" ht="15.75" thickBot="1" x14ac:dyDescent="0.3">
      <c r="A7" s="690"/>
      <c r="B7" s="427"/>
      <c r="C7" s="427"/>
      <c r="D7" s="420"/>
      <c r="E7" s="427"/>
      <c r="F7" s="427"/>
      <c r="H7" s="455"/>
      <c r="I7" s="450"/>
      <c r="J7" s="455"/>
      <c r="K7" s="450"/>
      <c r="L7" s="455"/>
      <c r="M7" s="450"/>
      <c r="N7" s="455"/>
      <c r="Q7" s="455"/>
      <c r="R7" s="450"/>
      <c r="S7" s="455"/>
      <c r="T7" s="455"/>
      <c r="U7" s="450"/>
      <c r="V7" s="455"/>
      <c r="Y7" s="418"/>
      <c r="Z7" s="214"/>
      <c r="AA7" s="214"/>
      <c r="AB7" s="214"/>
      <c r="AC7" s="214"/>
      <c r="AD7" s="419"/>
    </row>
    <row r="8" spans="1:30" ht="15" x14ac:dyDescent="0.25">
      <c r="A8" s="428" t="s">
        <v>424</v>
      </c>
      <c r="B8" s="686" t="e">
        <f>#REF!/1000</f>
        <v>#REF!</v>
      </c>
      <c r="C8" s="712" t="e">
        <f>B8*1.137*1000</f>
        <v>#REF!</v>
      </c>
      <c r="D8" s="429" t="e">
        <f>C8/C17*100</f>
        <v>#REF!</v>
      </c>
      <c r="E8" s="686"/>
      <c r="F8" s="686"/>
      <c r="H8" s="454"/>
      <c r="I8" s="451" t="s">
        <v>424</v>
      </c>
      <c r="J8" s="454" t="e">
        <f>#REF!/1000</f>
        <v>#REF!</v>
      </c>
      <c r="K8" s="451" t="e">
        <f>J8*1.137*1000</f>
        <v>#REF!</v>
      </c>
      <c r="L8" s="454" t="e">
        <f>K8/K17*100</f>
        <v>#REF!</v>
      </c>
      <c r="M8" s="451"/>
      <c r="N8" s="454"/>
      <c r="Q8" s="454" t="s">
        <v>424</v>
      </c>
      <c r="R8" s="451" t="e">
        <f>#REF!/1000</f>
        <v>#REF!</v>
      </c>
      <c r="S8" s="454" t="e">
        <f>R8*1.137*1000</f>
        <v>#REF!</v>
      </c>
      <c r="T8" s="454" t="e">
        <f>S8/S17*100</f>
        <v>#REF!</v>
      </c>
      <c r="U8" s="451"/>
      <c r="V8" s="454"/>
      <c r="Y8" s="418" t="s">
        <v>424</v>
      </c>
      <c r="Z8" s="218" t="e">
        <f>#REF!/1000</f>
        <v>#REF!</v>
      </c>
      <c r="AA8" s="214" t="e">
        <f>Z8*1.137*1000</f>
        <v>#REF!</v>
      </c>
      <c r="AB8" s="214" t="e">
        <f>AA8/AA17*100</f>
        <v>#REF!</v>
      </c>
      <c r="AC8" s="214"/>
      <c r="AD8" s="419"/>
    </row>
    <row r="9" spans="1:30" ht="15.75" thickBot="1" x14ac:dyDescent="0.3">
      <c r="A9" s="430" t="s">
        <v>425</v>
      </c>
      <c r="B9" s="687"/>
      <c r="C9" s="713"/>
      <c r="D9" s="430"/>
      <c r="E9" s="687"/>
      <c r="F9" s="687"/>
      <c r="H9" s="456"/>
      <c r="I9" s="452" t="s">
        <v>425</v>
      </c>
      <c r="J9" s="456"/>
      <c r="K9" s="452"/>
      <c r="L9" s="456"/>
      <c r="M9" s="452"/>
      <c r="N9" s="456"/>
      <c r="Q9" s="456" t="s">
        <v>425</v>
      </c>
      <c r="R9" s="452"/>
      <c r="S9" s="456"/>
      <c r="T9" s="456"/>
      <c r="U9" s="452"/>
      <c r="V9" s="456"/>
      <c r="Y9" s="418" t="s">
        <v>425</v>
      </c>
      <c r="Z9" s="214"/>
      <c r="AA9" s="214"/>
      <c r="AB9" s="214"/>
      <c r="AC9" s="214"/>
      <c r="AD9" s="419"/>
    </row>
    <row r="10" spans="1:30" ht="15" x14ac:dyDescent="0.25">
      <c r="A10" s="428" t="s">
        <v>426</v>
      </c>
      <c r="B10" s="686">
        <v>0</v>
      </c>
      <c r="C10" s="714">
        <f>B10*1570</f>
        <v>0</v>
      </c>
      <c r="D10" s="686" t="e">
        <f>C10/C17*100</f>
        <v>#REF!</v>
      </c>
      <c r="E10" s="686"/>
      <c r="F10" s="686"/>
      <c r="H10" s="454"/>
      <c r="I10" s="451" t="s">
        <v>426</v>
      </c>
      <c r="J10" s="454">
        <v>0</v>
      </c>
      <c r="K10" s="451">
        <f>J10*1570</f>
        <v>0</v>
      </c>
      <c r="L10" s="454" t="e">
        <f>K10/K17*100</f>
        <v>#REF!</v>
      </c>
      <c r="M10" s="451"/>
      <c r="N10" s="454"/>
      <c r="Q10" s="454" t="s">
        <v>426</v>
      </c>
      <c r="R10" s="451">
        <v>0</v>
      </c>
      <c r="S10" s="454">
        <f>R10*1570</f>
        <v>0</v>
      </c>
      <c r="T10" s="454" t="e">
        <f>S10/S17*100</f>
        <v>#REF!</v>
      </c>
      <c r="U10" s="451"/>
      <c r="V10" s="454"/>
      <c r="Y10" s="418" t="s">
        <v>426</v>
      </c>
      <c r="Z10" s="214">
        <v>0</v>
      </c>
      <c r="AA10" s="214">
        <f>Z10*1570</f>
        <v>0</v>
      </c>
      <c r="AB10" s="214" t="e">
        <f>AA10/AA17*100</f>
        <v>#REF!</v>
      </c>
      <c r="AC10" s="214"/>
      <c r="AD10" s="419"/>
    </row>
    <row r="11" spans="1:30" ht="15.75" thickBot="1" x14ac:dyDescent="0.3">
      <c r="A11" s="430" t="s">
        <v>427</v>
      </c>
      <c r="B11" s="687"/>
      <c r="C11" s="715"/>
      <c r="D11" s="687"/>
      <c r="E11" s="687"/>
      <c r="F11" s="687"/>
      <c r="H11" s="456"/>
      <c r="I11" s="452" t="s">
        <v>427</v>
      </c>
      <c r="J11" s="456"/>
      <c r="K11" s="452"/>
      <c r="L11" s="456"/>
      <c r="M11" s="452"/>
      <c r="N11" s="456"/>
      <c r="Q11" s="456" t="s">
        <v>427</v>
      </c>
      <c r="R11" s="452"/>
      <c r="S11" s="456"/>
      <c r="T11" s="456"/>
      <c r="U11" s="452"/>
      <c r="V11" s="456"/>
      <c r="Y11" s="418" t="s">
        <v>427</v>
      </c>
      <c r="Z11" s="214"/>
      <c r="AA11" s="214"/>
      <c r="AB11" s="214"/>
      <c r="AC11" s="214"/>
      <c r="AD11" s="419"/>
    </row>
    <row r="12" spans="1:30" ht="30.75" thickBot="1" x14ac:dyDescent="0.3">
      <c r="A12" s="430" t="s">
        <v>428</v>
      </c>
      <c r="B12" s="421">
        <v>0</v>
      </c>
      <c r="C12" s="431">
        <f>B12*1.37</f>
        <v>0</v>
      </c>
      <c r="D12" s="420" t="e">
        <f>C12/C17*100</f>
        <v>#REF!</v>
      </c>
      <c r="E12" s="420"/>
      <c r="F12" s="420"/>
      <c r="H12" s="458"/>
      <c r="I12" s="457" t="s">
        <v>428</v>
      </c>
      <c r="J12" s="458">
        <v>0</v>
      </c>
      <c r="K12" s="457">
        <f>J12*1.37</f>
        <v>0</v>
      </c>
      <c r="L12" s="458" t="e">
        <f>K12/K17*100</f>
        <v>#REF!</v>
      </c>
      <c r="M12" s="457"/>
      <c r="N12" s="458"/>
      <c r="Q12" s="458" t="s">
        <v>428</v>
      </c>
      <c r="R12" s="457">
        <v>0</v>
      </c>
      <c r="S12" s="458">
        <f>R12*1.37</f>
        <v>0</v>
      </c>
      <c r="T12" s="458" t="e">
        <f>S12/S17*100</f>
        <v>#REF!</v>
      </c>
      <c r="U12" s="457"/>
      <c r="V12" s="458"/>
      <c r="Y12" s="418" t="s">
        <v>428</v>
      </c>
      <c r="Z12" s="214">
        <v>0</v>
      </c>
      <c r="AA12" s="214">
        <f>Z12*1.37</f>
        <v>0</v>
      </c>
      <c r="AB12" s="214" t="e">
        <f>AA12/AA17*100</f>
        <v>#REF!</v>
      </c>
      <c r="AC12" s="214"/>
      <c r="AD12" s="419"/>
    </row>
    <row r="13" spans="1:30" ht="30.75" thickBot="1" x14ac:dyDescent="0.3">
      <c r="A13" s="430" t="s">
        <v>429</v>
      </c>
      <c r="B13" s="421">
        <v>0.12</v>
      </c>
      <c r="C13" s="432">
        <f>B13*768</f>
        <v>92.16</v>
      </c>
      <c r="D13" s="420" t="e">
        <f>C13/C17*100</f>
        <v>#REF!</v>
      </c>
      <c r="E13" s="420"/>
      <c r="F13" s="420"/>
      <c r="H13" s="458"/>
      <c r="I13" s="457" t="s">
        <v>429</v>
      </c>
      <c r="J13" s="458">
        <v>0.14000000000000001</v>
      </c>
      <c r="K13" s="457">
        <f>J13*768</f>
        <v>107.52000000000001</v>
      </c>
      <c r="L13" s="458" t="e">
        <f>K13/K17*100</f>
        <v>#REF!</v>
      </c>
      <c r="M13" s="457"/>
      <c r="N13" s="458"/>
      <c r="Q13" s="458" t="s">
        <v>429</v>
      </c>
      <c r="R13" s="464">
        <v>0.11</v>
      </c>
      <c r="S13" s="458">
        <f>R13*768</f>
        <v>84.48</v>
      </c>
      <c r="T13" s="458" t="e">
        <f>S13/S17*100</f>
        <v>#REF!</v>
      </c>
      <c r="U13" s="457"/>
      <c r="V13" s="458"/>
      <c r="Y13" s="418" t="s">
        <v>429</v>
      </c>
      <c r="Z13" s="214">
        <v>0</v>
      </c>
      <c r="AA13" s="214">
        <f>Z13*768</f>
        <v>0</v>
      </c>
      <c r="AB13" s="214" t="e">
        <f>AA13/AA17*100</f>
        <v>#REF!</v>
      </c>
      <c r="AC13" s="214"/>
      <c r="AD13" s="419"/>
    </row>
    <row r="14" spans="1:30" ht="30" x14ac:dyDescent="0.25">
      <c r="A14" s="428" t="s">
        <v>430</v>
      </c>
      <c r="B14" s="434" t="e">
        <f>0.7*(#REF!+#REF!)/1000</f>
        <v>#REF!</v>
      </c>
      <c r="C14" s="429" t="e">
        <f>B14*266</f>
        <v>#REF!</v>
      </c>
      <c r="D14" s="429" t="e">
        <f>C14/C17*100</f>
        <v>#REF!</v>
      </c>
      <c r="E14" s="686"/>
      <c r="F14" s="686"/>
      <c r="H14" s="454"/>
      <c r="I14" s="451" t="s">
        <v>430</v>
      </c>
      <c r="J14" s="454" t="e">
        <f>0.7*(#REF!+#REF!)/1000</f>
        <v>#REF!</v>
      </c>
      <c r="K14" s="451" t="e">
        <f>J14*266</f>
        <v>#REF!</v>
      </c>
      <c r="L14" s="454" t="e">
        <f>K14/K17*100</f>
        <v>#REF!</v>
      </c>
      <c r="M14" s="451"/>
      <c r="N14" s="454"/>
      <c r="Q14" s="454" t="s">
        <v>430</v>
      </c>
      <c r="R14" s="451" t="e">
        <f>0.7*(#REF!+#REF!)/1000</f>
        <v>#REF!</v>
      </c>
      <c r="S14" s="454" t="e">
        <f>R14*266</f>
        <v>#REF!</v>
      </c>
      <c r="T14" s="454" t="e">
        <f>S14/S17*100</f>
        <v>#REF!</v>
      </c>
      <c r="U14" s="451"/>
      <c r="V14" s="454"/>
      <c r="Y14" s="418" t="s">
        <v>430</v>
      </c>
      <c r="Z14" s="214">
        <v>0</v>
      </c>
      <c r="AA14" s="214">
        <f>Z14*266</f>
        <v>0</v>
      </c>
      <c r="AB14" s="214" t="e">
        <f>AA14/AA17*100</f>
        <v>#REF!</v>
      </c>
      <c r="AC14" s="214"/>
      <c r="AD14" s="419"/>
    </row>
    <row r="15" spans="1:30" ht="15.75" thickBot="1" x14ac:dyDescent="0.3">
      <c r="A15" s="430" t="s">
        <v>431</v>
      </c>
      <c r="B15" s="435"/>
      <c r="C15" s="430"/>
      <c r="D15" s="430"/>
      <c r="E15" s="687"/>
      <c r="F15" s="687"/>
      <c r="H15" s="456"/>
      <c r="I15" s="452" t="s">
        <v>431</v>
      </c>
      <c r="J15" s="456"/>
      <c r="K15" s="452"/>
      <c r="L15" s="456"/>
      <c r="M15" s="452"/>
      <c r="N15" s="456"/>
      <c r="Q15" s="456" t="s">
        <v>431</v>
      </c>
      <c r="R15" s="452"/>
      <c r="S15" s="456"/>
      <c r="T15" s="456"/>
      <c r="U15" s="452"/>
      <c r="V15" s="456"/>
      <c r="Y15" s="418" t="s">
        <v>431</v>
      </c>
      <c r="Z15" s="214"/>
      <c r="AA15" s="214"/>
      <c r="AB15" s="214"/>
      <c r="AC15" s="214"/>
      <c r="AD15" s="419"/>
    </row>
    <row r="16" spans="1:30" ht="45.75" thickBot="1" x14ac:dyDescent="0.3">
      <c r="A16" s="426" t="s">
        <v>432</v>
      </c>
      <c r="B16" s="421">
        <v>0</v>
      </c>
      <c r="C16" s="436">
        <f>B16*600</f>
        <v>0</v>
      </c>
      <c r="D16" s="420" t="e">
        <f>C16/C17*100</f>
        <v>#REF!</v>
      </c>
      <c r="E16" s="420"/>
      <c r="F16" s="420"/>
      <c r="H16" s="458"/>
      <c r="I16" s="457" t="s">
        <v>432</v>
      </c>
      <c r="J16" s="458">
        <v>0</v>
      </c>
      <c r="K16" s="457">
        <f>J16*600</f>
        <v>0</v>
      </c>
      <c r="L16" s="458" t="e">
        <f>K16/K17*100</f>
        <v>#REF!</v>
      </c>
      <c r="M16" s="457"/>
      <c r="N16" s="458"/>
      <c r="Q16" s="458" t="s">
        <v>432</v>
      </c>
      <c r="R16" s="457">
        <v>0</v>
      </c>
      <c r="S16" s="458">
        <f>R16*600</f>
        <v>0</v>
      </c>
      <c r="T16" s="458" t="e">
        <f>S16/S17*100</f>
        <v>#REF!</v>
      </c>
      <c r="U16" s="457"/>
      <c r="V16" s="458"/>
      <c r="Y16" s="418" t="s">
        <v>432</v>
      </c>
      <c r="Z16" s="214">
        <v>0</v>
      </c>
      <c r="AA16" s="214">
        <f>Z16*600</f>
        <v>0</v>
      </c>
      <c r="AB16" s="214" t="e">
        <f>AA16/AA17*100</f>
        <v>#REF!</v>
      </c>
      <c r="AC16" s="214"/>
      <c r="AD16" s="419"/>
    </row>
    <row r="17" spans="1:30" ht="15.75" thickBot="1" x14ac:dyDescent="0.3">
      <c r="A17" s="437" t="s">
        <v>433</v>
      </c>
      <c r="B17" s="420" t="s">
        <v>105</v>
      </c>
      <c r="C17" s="438" t="e">
        <f>C4+C8+C10+C12+C13+C14+C16+D20+D21+D22</f>
        <v>#REF!</v>
      </c>
      <c r="D17" s="420">
        <v>100</v>
      </c>
      <c r="E17" s="420"/>
      <c r="F17" s="420">
        <v>100</v>
      </c>
      <c r="H17" s="458"/>
      <c r="I17" s="457" t="s">
        <v>433</v>
      </c>
      <c r="J17" s="458" t="s">
        <v>105</v>
      </c>
      <c r="K17" s="457" t="e">
        <f>K4+K8+K10+K12+K13+K14+K16+L20+L21+L22</f>
        <v>#REF!</v>
      </c>
      <c r="L17" s="458">
        <v>100</v>
      </c>
      <c r="M17" s="457"/>
      <c r="N17" s="458">
        <v>100</v>
      </c>
      <c r="Q17" s="456" t="s">
        <v>433</v>
      </c>
      <c r="R17" s="452" t="s">
        <v>105</v>
      </c>
      <c r="S17" s="456" t="e">
        <f>S4+S8+S10+S12+S13+S14+S16+T22+T23+T24</f>
        <v>#REF!</v>
      </c>
      <c r="T17" s="456">
        <v>100</v>
      </c>
      <c r="U17" s="452"/>
      <c r="V17" s="456">
        <v>100</v>
      </c>
      <c r="Y17" s="439" t="s">
        <v>433</v>
      </c>
      <c r="Z17" s="440" t="s">
        <v>105</v>
      </c>
      <c r="AA17" s="440" t="e">
        <f>AA4+AA8+AA10+AA12+AA13+AA14+AA16+AB22+AB23+AB24</f>
        <v>#REF!</v>
      </c>
      <c r="AB17" s="440">
        <v>100</v>
      </c>
      <c r="AC17" s="440"/>
      <c r="AD17" s="441">
        <v>100</v>
      </c>
    </row>
    <row r="18" spans="1:30" x14ac:dyDescent="0.2">
      <c r="C18" s="216" t="e">
        <f>C17/1000</f>
        <v>#REF!</v>
      </c>
      <c r="K18" s="216" t="e">
        <f>K17/1000</f>
        <v>#REF!</v>
      </c>
      <c r="S18" s="216" t="e">
        <f>S17/1000</f>
        <v>#REF!</v>
      </c>
      <c r="AA18" s="442" t="e">
        <f>AA17/1000+X26/1000</f>
        <v>#REF!</v>
      </c>
    </row>
    <row r="19" spans="1:30" x14ac:dyDescent="0.2">
      <c r="J19" s="216" t="s">
        <v>256</v>
      </c>
      <c r="K19" s="216" t="s">
        <v>397</v>
      </c>
      <c r="L19" s="216" t="s">
        <v>255</v>
      </c>
      <c r="AA19" s="442" t="e">
        <f>#REF!</f>
        <v>#REF!</v>
      </c>
    </row>
    <row r="20" spans="1:30" ht="38.25" x14ac:dyDescent="0.2">
      <c r="A20" s="466" t="s">
        <v>223</v>
      </c>
      <c r="B20" s="214">
        <v>1596</v>
      </c>
      <c r="C20" s="214">
        <v>1.49</v>
      </c>
      <c r="D20" s="214">
        <f>B20*C20</f>
        <v>2378.04</v>
      </c>
      <c r="E20" s="214"/>
      <c r="F20" s="214"/>
      <c r="G20" s="214" t="s">
        <v>254</v>
      </c>
      <c r="H20" s="216">
        <v>0.73199999999999998</v>
      </c>
      <c r="I20" s="466" t="s">
        <v>223</v>
      </c>
      <c r="J20" s="214">
        <v>1661</v>
      </c>
      <c r="K20" s="214">
        <v>1.49</v>
      </c>
      <c r="L20" s="214">
        <f>J20*K20</f>
        <v>2474.89</v>
      </c>
      <c r="M20" s="214"/>
      <c r="N20" s="214"/>
      <c r="Q20" s="443" t="s">
        <v>477</v>
      </c>
      <c r="R20" s="216" t="s">
        <v>176</v>
      </c>
      <c r="S20" s="216" t="e">
        <f>(S38+S41+S42)/1.137</f>
        <v>#REF!</v>
      </c>
      <c r="AA20" s="442" t="e">
        <f>AA19-AA18</f>
        <v>#REF!</v>
      </c>
      <c r="AB20" s="444" t="e">
        <f>AA20*1000/1.137</f>
        <v>#REF!</v>
      </c>
      <c r="AD20" s="216">
        <v>-271.50320216151982</v>
      </c>
    </row>
    <row r="21" spans="1:30" ht="30" x14ac:dyDescent="0.2">
      <c r="A21" s="466" t="s">
        <v>224</v>
      </c>
      <c r="B21" s="214">
        <v>880</v>
      </c>
      <c r="C21" s="214">
        <v>1.45</v>
      </c>
      <c r="D21" s="214">
        <f>B21*C21</f>
        <v>1276</v>
      </c>
      <c r="E21" s="214"/>
      <c r="F21" s="214"/>
      <c r="G21" s="214" t="s">
        <v>254</v>
      </c>
      <c r="H21" s="216">
        <v>0.81</v>
      </c>
      <c r="I21" s="466" t="s">
        <v>224</v>
      </c>
      <c r="J21" s="214">
        <v>860</v>
      </c>
      <c r="K21" s="214">
        <v>1.45</v>
      </c>
      <c r="L21" s="214">
        <f>J21*K21</f>
        <v>1247</v>
      </c>
      <c r="M21" s="214"/>
      <c r="N21" s="214"/>
      <c r="T21" s="216" t="s">
        <v>255</v>
      </c>
      <c r="AD21" s="216">
        <v>1353.9722407812139</v>
      </c>
    </row>
    <row r="22" spans="1:30" ht="30" x14ac:dyDescent="0.2">
      <c r="A22" s="466" t="s">
        <v>225</v>
      </c>
      <c r="B22" s="214"/>
      <c r="C22" s="214"/>
      <c r="D22" s="214">
        <v>0</v>
      </c>
      <c r="E22" s="214"/>
      <c r="F22" s="214"/>
      <c r="G22" s="214"/>
      <c r="I22" s="466" t="s">
        <v>225</v>
      </c>
      <c r="J22" s="214"/>
      <c r="K22" s="214"/>
      <c r="L22" s="214">
        <v>0</v>
      </c>
      <c r="M22" s="214"/>
      <c r="N22" s="214"/>
      <c r="Q22" s="466" t="s">
        <v>223</v>
      </c>
      <c r="R22" s="433">
        <v>1437</v>
      </c>
      <c r="S22" s="214">
        <v>1.49</v>
      </c>
      <c r="T22" s="214">
        <f>R22*S22</f>
        <v>2141.13</v>
      </c>
      <c r="U22" s="214"/>
      <c r="V22" s="214"/>
    </row>
    <row r="23" spans="1:30" ht="15" x14ac:dyDescent="0.2">
      <c r="Q23" s="466" t="s">
        <v>224</v>
      </c>
      <c r="R23" s="433">
        <v>730</v>
      </c>
      <c r="S23" s="214">
        <v>1.45</v>
      </c>
      <c r="T23" s="214">
        <f>R23*S23</f>
        <v>1058.5</v>
      </c>
      <c r="U23" s="214"/>
      <c r="V23" s="214"/>
    </row>
    <row r="24" spans="1:30" ht="30" x14ac:dyDescent="0.2">
      <c r="I24" s="445"/>
      <c r="Q24" s="466" t="s">
        <v>225</v>
      </c>
      <c r="R24" s="214"/>
      <c r="S24" s="214"/>
      <c r="T24" s="214">
        <v>0</v>
      </c>
      <c r="U24" s="214"/>
      <c r="V24" s="214"/>
      <c r="X24" s="216" t="s">
        <v>455</v>
      </c>
    </row>
    <row r="25" spans="1:30" ht="15" x14ac:dyDescent="0.2">
      <c r="C25" s="446"/>
      <c r="D25" s="446"/>
      <c r="E25" s="446"/>
      <c r="F25" s="446"/>
      <c r="G25" s="446"/>
      <c r="H25" s="446"/>
      <c r="I25" s="445"/>
    </row>
    <row r="26" spans="1:30" ht="15" x14ac:dyDescent="0.25">
      <c r="C26" s="446"/>
      <c r="D26" s="342"/>
      <c r="E26" s="446"/>
      <c r="F26" s="446"/>
      <c r="G26" s="446"/>
      <c r="H26" s="446"/>
      <c r="I26" s="445"/>
      <c r="T26" s="447">
        <f>T22+T23</f>
        <v>3199.63</v>
      </c>
      <c r="X26" s="522" t="e">
        <f>T26-'данные база'!Q219*1000</f>
        <v>#REF!</v>
      </c>
    </row>
    <row r="27" spans="1:30" ht="15" x14ac:dyDescent="0.25">
      <c r="C27" s="446"/>
      <c r="D27" s="342"/>
      <c r="E27" s="446"/>
      <c r="F27" s="446"/>
      <c r="G27" s="446"/>
      <c r="H27" s="446"/>
      <c r="I27" s="445"/>
    </row>
    <row r="28" spans="1:30" ht="15.75" x14ac:dyDescent="0.25">
      <c r="C28" s="446"/>
      <c r="D28" s="342"/>
      <c r="E28" s="446"/>
      <c r="F28" s="446"/>
      <c r="G28" s="446"/>
      <c r="H28" s="446"/>
      <c r="I28" s="446"/>
      <c r="R28" s="468" t="s">
        <v>442</v>
      </c>
    </row>
    <row r="29" spans="1:30" ht="15" x14ac:dyDescent="0.25">
      <c r="C29" s="446"/>
      <c r="D29" s="342"/>
      <c r="E29" s="446"/>
      <c r="F29" s="446"/>
      <c r="G29" s="446"/>
      <c r="H29" s="446"/>
      <c r="I29" s="446"/>
      <c r="Q29" s="719" t="s">
        <v>417</v>
      </c>
      <c r="R29" s="716" t="s">
        <v>288</v>
      </c>
      <c r="S29" s="717"/>
      <c r="T29" s="717"/>
      <c r="U29" s="717"/>
      <c r="V29" s="718"/>
    </row>
    <row r="30" spans="1:30" ht="51" x14ac:dyDescent="0.2">
      <c r="C30" s="446"/>
      <c r="D30" s="446"/>
      <c r="E30" s="446"/>
      <c r="F30" s="446"/>
      <c r="G30" s="446"/>
      <c r="H30" s="446"/>
      <c r="I30" s="446"/>
      <c r="Q30" s="728"/>
      <c r="R30" s="719" t="s">
        <v>418</v>
      </c>
      <c r="S30" s="448" t="s">
        <v>419</v>
      </c>
      <c r="T30" s="448"/>
      <c r="U30" s="716" t="s">
        <v>420</v>
      </c>
      <c r="V30" s="718"/>
    </row>
    <row r="31" spans="1:30" x14ac:dyDescent="0.2">
      <c r="Q31" s="720"/>
      <c r="R31" s="720"/>
      <c r="S31" s="448" t="s">
        <v>509</v>
      </c>
      <c r="T31" s="448" t="s">
        <v>15</v>
      </c>
      <c r="U31" s="448" t="s">
        <v>421</v>
      </c>
      <c r="V31" s="448" t="s">
        <v>422</v>
      </c>
    </row>
    <row r="32" spans="1:30" ht="51" x14ac:dyDescent="0.2">
      <c r="Q32" s="448" t="s">
        <v>423</v>
      </c>
      <c r="R32" s="448" t="e">
        <f>(#REF!+#REF!)/1000</f>
        <v>#REF!</v>
      </c>
      <c r="S32" s="448" t="e">
        <f>R32*0.123</f>
        <v>#REF!</v>
      </c>
      <c r="T32" s="448" t="e">
        <f>S32/S45*100</f>
        <v>#REF!</v>
      </c>
      <c r="U32" s="448"/>
      <c r="V32" s="448"/>
    </row>
    <row r="33" spans="4:22" x14ac:dyDescent="0.2">
      <c r="Q33" s="448"/>
      <c r="R33" s="448"/>
      <c r="S33" s="448"/>
      <c r="T33" s="448"/>
      <c r="U33" s="448"/>
      <c r="V33" s="448"/>
    </row>
    <row r="34" spans="4:22" x14ac:dyDescent="0.2">
      <c r="Q34" s="448" t="s">
        <v>435</v>
      </c>
      <c r="R34" s="448"/>
      <c r="S34" s="448"/>
      <c r="T34" s="448"/>
      <c r="U34" s="448"/>
      <c r="V34" s="448"/>
    </row>
    <row r="35" spans="4:22" ht="15" x14ac:dyDescent="0.25">
      <c r="D35" s="249" t="s">
        <v>103</v>
      </c>
      <c r="Q35" s="448"/>
      <c r="R35" s="448"/>
      <c r="S35" s="448"/>
      <c r="T35" s="448"/>
      <c r="U35" s="448"/>
      <c r="V35" s="448"/>
    </row>
    <row r="36" spans="4:22" ht="15" x14ac:dyDescent="0.25">
      <c r="D36" s="249" t="s">
        <v>106</v>
      </c>
      <c r="Q36" s="448" t="s">
        <v>424</v>
      </c>
      <c r="R36" s="448" t="e">
        <f>(#REF!+#REF!)/1000</f>
        <v>#REF!</v>
      </c>
      <c r="S36" s="448" t="e">
        <f>R36*1.137*1000</f>
        <v>#REF!</v>
      </c>
      <c r="T36" s="448" t="e">
        <f>S36/S45*100</f>
        <v>#REF!</v>
      </c>
      <c r="U36" s="448"/>
      <c r="V36" s="448"/>
    </row>
    <row r="37" spans="4:22" x14ac:dyDescent="0.2">
      <c r="Q37" s="448" t="s">
        <v>425</v>
      </c>
      <c r="R37" s="448"/>
      <c r="S37" s="448"/>
      <c r="T37" s="448"/>
      <c r="U37" s="448"/>
      <c r="V37" s="448"/>
    </row>
    <row r="38" spans="4:22" x14ac:dyDescent="0.2">
      <c r="Q38" s="448" t="s">
        <v>426</v>
      </c>
      <c r="R38" s="448">
        <v>0</v>
      </c>
      <c r="S38" s="448">
        <f>R38*1570</f>
        <v>0</v>
      </c>
      <c r="T38" s="448" t="e">
        <f>S38/S45*100</f>
        <v>#REF!</v>
      </c>
      <c r="U38" s="448"/>
      <c r="V38" s="448"/>
    </row>
    <row r="39" spans="4:22" x14ac:dyDescent="0.2">
      <c r="Q39" s="448" t="s">
        <v>427</v>
      </c>
      <c r="R39" s="448"/>
      <c r="S39" s="448"/>
      <c r="T39" s="448"/>
      <c r="U39" s="448"/>
      <c r="V39" s="448"/>
    </row>
    <row r="40" spans="4:22" ht="25.5" x14ac:dyDescent="0.2">
      <c r="Q40" s="448" t="s">
        <v>428</v>
      </c>
      <c r="R40" s="448">
        <v>0</v>
      </c>
      <c r="S40" s="448">
        <f>R40*1.37</f>
        <v>0</v>
      </c>
      <c r="T40" s="448" t="e">
        <f>S40/S45*100</f>
        <v>#REF!</v>
      </c>
      <c r="U40" s="448"/>
      <c r="V40" s="448"/>
    </row>
    <row r="41" spans="4:22" ht="25.5" x14ac:dyDescent="0.2">
      <c r="D41" s="252"/>
      <c r="Q41" s="448" t="s">
        <v>429</v>
      </c>
      <c r="R41" s="448">
        <v>0</v>
      </c>
      <c r="S41" s="448">
        <f>R41*768</f>
        <v>0</v>
      </c>
      <c r="T41" s="448" t="e">
        <f>S41/S45*100</f>
        <v>#REF!</v>
      </c>
      <c r="U41" s="448"/>
      <c r="V41" s="448"/>
    </row>
    <row r="42" spans="4:22" x14ac:dyDescent="0.2">
      <c r="Q42" s="448" t="s">
        <v>430</v>
      </c>
      <c r="R42" s="448" t="e">
        <f>R14</f>
        <v>#REF!</v>
      </c>
      <c r="S42" s="448" t="e">
        <f>R42*266</f>
        <v>#REF!</v>
      </c>
      <c r="T42" s="448" t="e">
        <f>S42/S45*100</f>
        <v>#REF!</v>
      </c>
      <c r="U42" s="448"/>
      <c r="V42" s="448"/>
    </row>
    <row r="43" spans="4:22" x14ac:dyDescent="0.2">
      <c r="Q43" s="448" t="s">
        <v>431</v>
      </c>
      <c r="R43" s="448"/>
      <c r="S43" s="448"/>
      <c r="T43" s="448"/>
      <c r="U43" s="448"/>
      <c r="V43" s="448"/>
    </row>
    <row r="44" spans="4:22" ht="25.5" x14ac:dyDescent="0.2">
      <c r="Q44" s="448" t="s">
        <v>432</v>
      </c>
      <c r="R44" s="448">
        <v>0</v>
      </c>
      <c r="S44" s="448">
        <f>R44*600</f>
        <v>0</v>
      </c>
      <c r="T44" s="448" t="e">
        <f>S44/S45*100</f>
        <v>#REF!</v>
      </c>
      <c r="U44" s="448"/>
      <c r="V44" s="448"/>
    </row>
    <row r="45" spans="4:22" x14ac:dyDescent="0.2">
      <c r="Q45" s="448" t="s">
        <v>433</v>
      </c>
      <c r="R45" s="448" t="s">
        <v>105</v>
      </c>
      <c r="S45" s="448" t="e">
        <f>S32+S36+S38+S40+S41+S42+S44+T50+T51+T52</f>
        <v>#REF!</v>
      </c>
      <c r="T45" s="448">
        <v>100</v>
      </c>
      <c r="U45" s="448"/>
      <c r="V45" s="448">
        <v>100</v>
      </c>
    </row>
    <row r="46" spans="4:22" x14ac:dyDescent="0.2">
      <c r="Q46" s="467"/>
      <c r="R46" s="467"/>
      <c r="S46" s="467"/>
      <c r="T46" s="467"/>
      <c r="U46" s="467"/>
      <c r="V46" s="467"/>
    </row>
  </sheetData>
  <sheetProtection password="CF6E" sheet="1" objects="1" scenarios="1" selectLockedCells="1" selectUnlockedCells="1"/>
  <mergeCells count="31">
    <mergeCell ref="R29:V29"/>
    <mergeCell ref="R30:R31"/>
    <mergeCell ref="U30:V30"/>
    <mergeCell ref="Q1:Q3"/>
    <mergeCell ref="R1:V1"/>
    <mergeCell ref="R2:R3"/>
    <mergeCell ref="S2:T2"/>
    <mergeCell ref="U2:V2"/>
    <mergeCell ref="Q29:Q31"/>
    <mergeCell ref="B10:B11"/>
    <mergeCell ref="D10:D11"/>
    <mergeCell ref="B8:B9"/>
    <mergeCell ref="C8:C9"/>
    <mergeCell ref="C10:C11"/>
    <mergeCell ref="A4:A7"/>
    <mergeCell ref="J1:N1"/>
    <mergeCell ref="K2:L2"/>
    <mergeCell ref="J2:J3"/>
    <mergeCell ref="I1:I3"/>
    <mergeCell ref="M2:N2"/>
    <mergeCell ref="A1:A3"/>
    <mergeCell ref="B1:F1"/>
    <mergeCell ref="B2:B3"/>
    <mergeCell ref="C2:D2"/>
    <mergeCell ref="E2:F2"/>
    <mergeCell ref="F14:F15"/>
    <mergeCell ref="E14:E15"/>
    <mergeCell ref="E8:E9"/>
    <mergeCell ref="E10:E11"/>
    <mergeCell ref="F10:F11"/>
    <mergeCell ref="F8:F9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opLeftCell="A130" workbookViewId="0">
      <selection activeCell="B6" sqref="B6"/>
    </sheetView>
  </sheetViews>
  <sheetFormatPr defaultRowHeight="12.75" x14ac:dyDescent="0.2"/>
  <cols>
    <col min="1" max="1" width="31.140625" style="216" customWidth="1"/>
    <col min="2" max="2" width="9.5703125" style="216" customWidth="1"/>
    <col min="3" max="3" width="15.140625" style="216" customWidth="1"/>
    <col min="4" max="4" width="9.5703125" style="216" customWidth="1"/>
    <col min="5" max="6" width="9.5703125" style="216" bestFit="1" customWidth="1"/>
    <col min="7" max="16384" width="9.140625" style="216"/>
  </cols>
  <sheetData>
    <row r="1" spans="1:19" s="220" customFormat="1" ht="16.5" thickBot="1" x14ac:dyDescent="0.3">
      <c r="A1" s="653" t="s">
        <v>192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5"/>
      <c r="P1" s="655"/>
      <c r="Q1" s="655"/>
      <c r="R1" s="655"/>
      <c r="S1" s="656"/>
    </row>
    <row r="2" spans="1:19" ht="14.25" x14ac:dyDescent="0.2">
      <c r="A2" s="223"/>
      <c r="B2" s="477">
        <f>'расчет показат'!E4</f>
        <v>2007</v>
      </c>
      <c r="C2" s="477">
        <f>'расчет показат'!F4</f>
        <v>2008</v>
      </c>
      <c r="D2" s="477">
        <f>'расчет показат'!G4</f>
        <v>2009</v>
      </c>
      <c r="E2" s="477">
        <f>'расчет показат'!H4</f>
        <v>2010</v>
      </c>
      <c r="F2" s="477">
        <f>'расчет показат'!I4</f>
        <v>2011</v>
      </c>
      <c r="G2" s="477">
        <f>'расчет показат'!J4</f>
        <v>2012</v>
      </c>
      <c r="H2" s="477">
        <f>'расчет показат'!K4</f>
        <v>2013</v>
      </c>
      <c r="I2" s="477">
        <f>'расчет показат'!L4</f>
        <v>2014</v>
      </c>
      <c r="J2" s="477">
        <f>'расчет показат'!M4</f>
        <v>2015</v>
      </c>
      <c r="K2" s="477">
        <f>'расчет показат'!N4</f>
        <v>2016</v>
      </c>
      <c r="L2" s="477">
        <f>'расчет показат'!O4</f>
        <v>2017</v>
      </c>
      <c r="M2" s="477">
        <f>'расчет показат'!P4</f>
        <v>2018</v>
      </c>
      <c r="N2" s="477">
        <f>'расчет показат'!Q4</f>
        <v>2019</v>
      </c>
      <c r="O2" s="222"/>
      <c r="P2" s="222"/>
      <c r="Q2" s="222"/>
      <c r="R2" s="222"/>
      <c r="S2" s="222"/>
    </row>
    <row r="3" spans="1:19" ht="105.75" customHeight="1" x14ac:dyDescent="0.2">
      <c r="A3" s="217" t="str">
        <f>'расчет показат'!B58</f>
        <v>Доля объемов ЭЭ, потребляемой в жилых домах (за исключением МКД), расчеты за которую осуществляются с использованием приборов учета, в общем объеме ЭЭ, потребляемой в жилых домах (за исключением МКД) на территории МО</v>
      </c>
      <c r="B3" s="477" t="e">
        <f>#REF!</f>
        <v>#REF!</v>
      </c>
      <c r="C3" s="477" t="e">
        <f>#REF!</f>
        <v>#REF!</v>
      </c>
      <c r="D3" s="477" t="e">
        <f>#REF!</f>
        <v>#REF!</v>
      </c>
      <c r="E3" s="477" t="e">
        <f>#REF!</f>
        <v>#REF!</v>
      </c>
      <c r="F3" s="477" t="e">
        <f>#REF!</f>
        <v>#REF!</v>
      </c>
      <c r="G3" s="477" t="e">
        <f>#REF!</f>
        <v>#REF!</v>
      </c>
      <c r="H3" s="477" t="e">
        <f>#REF!</f>
        <v>#REF!</v>
      </c>
      <c r="I3" s="477" t="e">
        <f>#REF!</f>
        <v>#REF!</v>
      </c>
      <c r="J3" s="477" t="e">
        <f>#REF!</f>
        <v>#REF!</v>
      </c>
      <c r="K3" s="477" t="e">
        <f>#REF!</f>
        <v>#REF!</v>
      </c>
      <c r="L3" s="477" t="e">
        <f>#REF!</f>
        <v>#REF!</v>
      </c>
      <c r="M3" s="477" t="e">
        <f>#REF!</f>
        <v>#REF!</v>
      </c>
      <c r="N3" s="477" t="e">
        <f>#REF!</f>
        <v>#REF!</v>
      </c>
      <c r="O3" s="222"/>
      <c r="P3" s="222"/>
      <c r="Q3" s="222"/>
      <c r="R3" s="222"/>
      <c r="S3" s="222"/>
    </row>
    <row r="4" spans="1:19" ht="90.75" customHeight="1" x14ac:dyDescent="0.2">
      <c r="A4" s="217" t="str">
        <f>'расчет показат'!B59</f>
        <v>Доля объемов ЭЭ, потребляемой в МКД, расчеты за которую осуществляются с использованием коллективных (общедомовых) приборов учета, в общем объеме ЭЭ, потребляемой в МКД на территории МО</v>
      </c>
      <c r="B4" s="470" t="e">
        <f>#REF!</f>
        <v>#REF!</v>
      </c>
      <c r="C4" s="470" t="e">
        <f>#REF!</f>
        <v>#REF!</v>
      </c>
      <c r="D4" s="470" t="e">
        <f>#REF!</f>
        <v>#REF!</v>
      </c>
      <c r="E4" s="448" t="e">
        <f>#REF!</f>
        <v>#REF!</v>
      </c>
      <c r="F4" s="448" t="e">
        <f>#REF!</f>
        <v>#REF!</v>
      </c>
      <c r="G4" s="448" t="e">
        <f>#REF!</f>
        <v>#REF!</v>
      </c>
      <c r="H4" s="448" t="e">
        <f>#REF!</f>
        <v>#REF!</v>
      </c>
      <c r="I4" s="448" t="e">
        <f>#REF!</f>
        <v>#REF!</v>
      </c>
      <c r="J4" s="448" t="e">
        <f>#REF!</f>
        <v>#REF!</v>
      </c>
      <c r="K4" s="448" t="e">
        <f>#REF!</f>
        <v>#REF!</v>
      </c>
      <c r="L4" s="448" t="e">
        <f>#REF!</f>
        <v>#REF!</v>
      </c>
      <c r="M4" s="448" t="e">
        <f>#REF!</f>
        <v>#REF!</v>
      </c>
      <c r="N4" s="448" t="e">
        <f>#REF!</f>
        <v>#REF!</v>
      </c>
    </row>
    <row r="5" spans="1:19" x14ac:dyDescent="0.2">
      <c r="A5" s="443"/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</row>
    <row r="6" spans="1:19" ht="89.25" x14ac:dyDescent="0.2">
      <c r="A6" s="217" t="str">
        <f>'расчет показат'!B61</f>
        <v>Доля объемов ТЭ, потребляемой в жилых домах, расчеты за которую осуществляются с использованием приборов учета, в общем объеме ТЭ, потребляемой (используемой) в жилых домах на территории МО (за исключением МКД)</v>
      </c>
      <c r="B6" s="448" t="e">
        <f>#REF!</f>
        <v>#REF!</v>
      </c>
      <c r="C6" s="448" t="e">
        <f>#REF!</f>
        <v>#REF!</v>
      </c>
      <c r="D6" s="448" t="e">
        <f>#REF!</f>
        <v>#REF!</v>
      </c>
      <c r="E6" s="448" t="e">
        <f>#REF!</f>
        <v>#REF!</v>
      </c>
      <c r="F6" s="448" t="e">
        <f>#REF!</f>
        <v>#REF!</v>
      </c>
      <c r="G6" s="448" t="e">
        <f>#REF!</f>
        <v>#REF!</v>
      </c>
      <c r="H6" s="448" t="e">
        <f>#REF!</f>
        <v>#REF!</v>
      </c>
      <c r="I6" s="448" t="e">
        <f>#REF!</f>
        <v>#REF!</v>
      </c>
      <c r="J6" s="448" t="e">
        <f>#REF!</f>
        <v>#REF!</v>
      </c>
      <c r="K6" s="448" t="e">
        <f>#REF!</f>
        <v>#REF!</v>
      </c>
      <c r="L6" s="448" t="e">
        <f>#REF!</f>
        <v>#REF!</v>
      </c>
      <c r="M6" s="448" t="e">
        <f>#REF!</f>
        <v>#REF!</v>
      </c>
      <c r="N6" s="448" t="e">
        <f>#REF!</f>
        <v>#REF!</v>
      </c>
    </row>
    <row r="7" spans="1:19" ht="89.25" x14ac:dyDescent="0.2">
      <c r="A7" s="217" t="str">
        <f>'расчет показат'!B62</f>
        <v>Доля объемов ТЭ, потребляемой в  МКД, оплата которой осуществляется с использованием коллективных (общедомовых) приборов учета, в общем объеме ТЭ, потребляемой в МКД на территории МО</v>
      </c>
      <c r="B7" s="470" t="e">
        <f>#REF!</f>
        <v>#REF!</v>
      </c>
      <c r="C7" s="470" t="e">
        <f>#REF!</f>
        <v>#REF!</v>
      </c>
      <c r="D7" s="470" t="e">
        <f>#REF!</f>
        <v>#REF!</v>
      </c>
      <c r="E7" s="470" t="e">
        <f>#REF!</f>
        <v>#REF!</v>
      </c>
      <c r="F7" s="470" t="e">
        <f>#REF!</f>
        <v>#REF!</v>
      </c>
      <c r="G7" s="470" t="e">
        <f>#REF!</f>
        <v>#REF!</v>
      </c>
      <c r="H7" s="470" t="e">
        <f>#REF!</f>
        <v>#REF!</v>
      </c>
      <c r="I7" s="470" t="e">
        <f>#REF!</f>
        <v>#REF!</v>
      </c>
      <c r="J7" s="470" t="e">
        <f>#REF!</f>
        <v>#REF!</v>
      </c>
      <c r="K7" s="470" t="e">
        <f>#REF!</f>
        <v>#REF!</v>
      </c>
      <c r="L7" s="470" t="e">
        <f>#REF!</f>
        <v>#REF!</v>
      </c>
      <c r="M7" s="470" t="e">
        <f>#REF!</f>
        <v>#REF!</v>
      </c>
      <c r="N7" s="470" t="e">
        <f>#REF!</f>
        <v>#REF!</v>
      </c>
    </row>
    <row r="8" spans="1:19" x14ac:dyDescent="0.2">
      <c r="A8" s="443"/>
      <c r="B8" s="467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7"/>
    </row>
    <row r="9" spans="1:19" ht="102" x14ac:dyDescent="0.2">
      <c r="A9" s="217" t="str">
        <f>'расчет показат'!B63</f>
        <v>Доля объемов воды, потребляемой в жилых домах (за исключением МКД), расчеты за которую осуществляются с использованием приборов учета, в общем объеме воды, потребляемой (используемой) в жилых домах (за исключением МКД) на территории МО</v>
      </c>
      <c r="B9" s="470" t="e">
        <f>#REF!</f>
        <v>#REF!</v>
      </c>
      <c r="C9" s="470" t="e">
        <f>#REF!</f>
        <v>#REF!</v>
      </c>
      <c r="D9" s="470" t="e">
        <f>#REF!</f>
        <v>#REF!</v>
      </c>
      <c r="E9" s="470" t="e">
        <f>#REF!</f>
        <v>#REF!</v>
      </c>
      <c r="F9" s="470" t="e">
        <f>#REF!</f>
        <v>#REF!</v>
      </c>
      <c r="G9" s="470" t="e">
        <f>#REF!</f>
        <v>#REF!</v>
      </c>
      <c r="H9" s="470" t="e">
        <f>#REF!</f>
        <v>#REF!</v>
      </c>
      <c r="I9" s="470" t="e">
        <f>#REF!</f>
        <v>#REF!</v>
      </c>
      <c r="J9" s="470" t="e">
        <f>#REF!</f>
        <v>#REF!</v>
      </c>
      <c r="K9" s="470" t="e">
        <f>#REF!</f>
        <v>#REF!</v>
      </c>
      <c r="L9" s="470" t="e">
        <f>#REF!</f>
        <v>#REF!</v>
      </c>
      <c r="M9" s="470" t="e">
        <f>#REF!</f>
        <v>#REF!</v>
      </c>
      <c r="N9" s="470" t="e">
        <f>#REF!</f>
        <v>#REF!</v>
      </c>
    </row>
    <row r="10" spans="1:19" ht="102.75" customHeight="1" x14ac:dyDescent="0.2">
      <c r="A10" s="217" t="str">
        <f>'расчет показат'!B64</f>
        <v>Доля объемов воды, потребляемой (используемой) в МКД, расчеты за которую осуществляются с использованием коллективных (общедомовых) приборов учета, в общем объеме воды, потребляемой (используемой) в МКД на территории МО</v>
      </c>
      <c r="B10" s="470" t="e">
        <f>#REF!</f>
        <v>#REF!</v>
      </c>
      <c r="C10" s="470" t="e">
        <f>#REF!</f>
        <v>#REF!</v>
      </c>
      <c r="D10" s="470" t="e">
        <f>#REF!</f>
        <v>#REF!</v>
      </c>
      <c r="E10" s="470" t="e">
        <f>#REF!</f>
        <v>#REF!</v>
      </c>
      <c r="F10" s="470" t="e">
        <f>#REF!</f>
        <v>#REF!</v>
      </c>
      <c r="G10" s="448" t="e">
        <f>#REF!</f>
        <v>#REF!</v>
      </c>
      <c r="H10" s="448" t="e">
        <f>#REF!</f>
        <v>#REF!</v>
      </c>
      <c r="I10" s="448" t="e">
        <f>#REF!</f>
        <v>#REF!</v>
      </c>
      <c r="J10" s="448" t="e">
        <f>#REF!</f>
        <v>#REF!</v>
      </c>
      <c r="K10" s="448" t="e">
        <f>#REF!</f>
        <v>#REF!</v>
      </c>
      <c r="L10" s="448" t="e">
        <f>#REF!</f>
        <v>#REF!</v>
      </c>
      <c r="M10" s="448" t="e">
        <f>#REF!</f>
        <v>#REF!</v>
      </c>
      <c r="N10" s="448" t="e">
        <f>#REF!</f>
        <v>#REF!</v>
      </c>
    </row>
    <row r="11" spans="1:19" x14ac:dyDescent="0.2">
      <c r="A11" s="443"/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  <c r="M11" s="467"/>
      <c r="N11" s="467"/>
    </row>
    <row r="12" spans="1:19" ht="126.75" customHeight="1" x14ac:dyDescent="0.2">
      <c r="A12" s="217" t="str">
        <f>'расчет показат'!B66</f>
        <v>Доля объемов природного газа, потребляемого (используемого) в жилых домах (за исключением МКД), расчеты за который осуществляются с использованием приборов учета, в общем объеме природного газа, потребляемого (используемого) в жилых домах (за исключением МКД) на территории МО</v>
      </c>
      <c r="B12" s="470" t="e">
        <f>#REF!</f>
        <v>#REF!</v>
      </c>
      <c r="C12" s="470" t="e">
        <f>#REF!</f>
        <v>#REF!</v>
      </c>
      <c r="D12" s="470" t="e">
        <f>#REF!</f>
        <v>#REF!</v>
      </c>
      <c r="E12" s="470" t="e">
        <f>#REF!</f>
        <v>#REF!</v>
      </c>
      <c r="F12" s="470" t="e">
        <f>#REF!</f>
        <v>#REF!</v>
      </c>
      <c r="G12" s="470" t="e">
        <f>#REF!</f>
        <v>#REF!</v>
      </c>
      <c r="H12" s="470" t="e">
        <f>#REF!</f>
        <v>#REF!</v>
      </c>
      <c r="I12" s="470" t="e">
        <f>#REF!</f>
        <v>#REF!</v>
      </c>
      <c r="J12" s="470" t="e">
        <f>#REF!</f>
        <v>#REF!</v>
      </c>
      <c r="K12" s="470" t="e">
        <f>#REF!</f>
        <v>#REF!</v>
      </c>
      <c r="L12" s="470" t="e">
        <f>#REF!</f>
        <v>#REF!</v>
      </c>
      <c r="M12" s="470" t="e">
        <f>#REF!</f>
        <v>#REF!</v>
      </c>
      <c r="N12" s="470" t="e">
        <f>#REF!</f>
        <v>#REF!</v>
      </c>
    </row>
    <row r="13" spans="1:19" ht="127.5" x14ac:dyDescent="0.2">
      <c r="A13" s="217" t="str">
        <f>'расчет показат'!B67</f>
        <v>Доля объемов природного газа, потребляемого (используемого) в МКД, расчеты за который осуществляются с использованием индивидуальных и общих (для коммунальной квартиры) приборов учета, в общем объеме природного газа, потребляемого (используемого) в МКД на территории МО</v>
      </c>
      <c r="B13" s="470" t="e">
        <f>#REF!</f>
        <v>#REF!</v>
      </c>
      <c r="C13" s="470" t="e">
        <f>#REF!</f>
        <v>#REF!</v>
      </c>
      <c r="D13" s="470" t="e">
        <f>#REF!</f>
        <v>#REF!</v>
      </c>
      <c r="E13" s="470" t="e">
        <f>#REF!</f>
        <v>#REF!</v>
      </c>
      <c r="F13" s="470" t="e">
        <f>#REF!</f>
        <v>#REF!</v>
      </c>
      <c r="G13" s="470" t="e">
        <f>#REF!</f>
        <v>#REF!</v>
      </c>
      <c r="H13" s="470" t="e">
        <f>#REF!</f>
        <v>#REF!</v>
      </c>
      <c r="I13" s="470" t="e">
        <f>#REF!</f>
        <v>#REF!</v>
      </c>
      <c r="J13" s="470" t="e">
        <f>#REF!</f>
        <v>#REF!</v>
      </c>
      <c r="K13" s="470" t="e">
        <f>#REF!</f>
        <v>#REF!</v>
      </c>
      <c r="L13" s="470" t="e">
        <f>#REF!</f>
        <v>#REF!</v>
      </c>
      <c r="M13" s="470" t="e">
        <f>#REF!</f>
        <v>#REF!</v>
      </c>
      <c r="N13" s="470" t="e">
        <f>#REF!</f>
        <v>#REF!</v>
      </c>
    </row>
    <row r="26" spans="4:6" ht="15.75" thickBot="1" x14ac:dyDescent="0.3">
      <c r="D26" s="249" t="s">
        <v>0</v>
      </c>
    </row>
    <row r="27" spans="4:6" ht="15" x14ac:dyDescent="0.25">
      <c r="D27" s="249" t="s">
        <v>1</v>
      </c>
      <c r="F27" s="243"/>
    </row>
    <row r="28" spans="4:6" ht="15" x14ac:dyDescent="0.25">
      <c r="D28" s="249" t="s">
        <v>2</v>
      </c>
      <c r="F28" s="244"/>
    </row>
    <row r="29" spans="4:6" ht="15.75" thickBot="1" x14ac:dyDescent="0.3">
      <c r="D29" s="249" t="s">
        <v>3</v>
      </c>
      <c r="F29" s="245"/>
    </row>
    <row r="35" spans="4:4" ht="15" x14ac:dyDescent="0.25">
      <c r="D35" s="249" t="s">
        <v>103</v>
      </c>
    </row>
    <row r="36" spans="4:4" ht="15" x14ac:dyDescent="0.25">
      <c r="D36" s="249" t="s">
        <v>106</v>
      </c>
    </row>
    <row r="41" spans="4:4" x14ac:dyDescent="0.2">
      <c r="D41" s="252"/>
    </row>
  </sheetData>
  <sheetProtection password="CF6E" sheet="1" objects="1" scenarios="1" selectLockedCells="1" selectUnlockedCells="1"/>
  <mergeCells count="1">
    <mergeCell ref="A1:S1"/>
  </mergeCells>
  <phoneticPr fontId="24" type="noConversion"/>
  <pageMargins left="0" right="0" top="0.98425196850393704" bottom="0.98425196850393704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opLeftCell="A4" workbookViewId="0">
      <selection activeCell="E5" sqref="E5"/>
    </sheetView>
  </sheetViews>
  <sheetFormatPr defaultRowHeight="12.75" x14ac:dyDescent="0.2"/>
  <cols>
    <col min="1" max="1" width="26" style="216" customWidth="1"/>
    <col min="2" max="2" width="9.140625" style="216"/>
    <col min="3" max="3" width="15.140625" style="216" customWidth="1"/>
    <col min="4" max="16384" width="9.140625" style="216"/>
  </cols>
  <sheetData>
    <row r="1" spans="1:19" ht="33" customHeight="1" thickBot="1" x14ac:dyDescent="0.25">
      <c r="A1" s="657" t="s">
        <v>91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5"/>
      <c r="P1" s="655"/>
      <c r="Q1" s="655"/>
      <c r="R1" s="655"/>
      <c r="S1" s="656"/>
    </row>
    <row r="2" spans="1:19" x14ac:dyDescent="0.2">
      <c r="A2" s="215" t="s">
        <v>413</v>
      </c>
      <c r="B2" s="469">
        <f>'расчет показат'!E4</f>
        <v>2007</v>
      </c>
      <c r="C2" s="469">
        <f>'расчет показат'!F4</f>
        <v>2008</v>
      </c>
      <c r="D2" s="469">
        <f>'расчет показат'!G4</f>
        <v>2009</v>
      </c>
      <c r="E2" s="469">
        <f>'расчет показат'!H4</f>
        <v>2010</v>
      </c>
      <c r="F2" s="469">
        <f>'расчет показат'!I4</f>
        <v>2011</v>
      </c>
      <c r="G2" s="469">
        <f>'расчет показат'!J4</f>
        <v>2012</v>
      </c>
      <c r="H2" s="469">
        <f>'расчет показат'!K4</f>
        <v>2013</v>
      </c>
      <c r="I2" s="469">
        <f>'расчет показат'!L4</f>
        <v>2014</v>
      </c>
      <c r="J2" s="469">
        <f>'расчет показат'!M4</f>
        <v>2015</v>
      </c>
      <c r="K2" s="469">
        <f>'расчет показат'!N4</f>
        <v>2016</v>
      </c>
      <c r="L2" s="469">
        <f>'расчет показат'!O4</f>
        <v>2017</v>
      </c>
      <c r="M2" s="469">
        <f>'расчет показат'!P4</f>
        <v>2018</v>
      </c>
      <c r="N2" s="469">
        <f>'расчет показат'!Q4</f>
        <v>2019</v>
      </c>
    </row>
    <row r="3" spans="1:19" ht="89.25" customHeight="1" x14ac:dyDescent="0.2">
      <c r="A3" s="217" t="str">
        <f>'расчет показат'!B40</f>
        <v>Доля объемов ЭЭ, потребляемой БУ, расчеты за которую осуществляются с использованием приборов учета, в общем объеме ЭЭ, потребляемой БУ на территории МО</v>
      </c>
      <c r="B3" s="476" t="e">
        <f>#REF!</f>
        <v>#REF!</v>
      </c>
      <c r="C3" s="476" t="e">
        <f>#REF!</f>
        <v>#REF!</v>
      </c>
      <c r="D3" s="476" t="e">
        <f>#REF!</f>
        <v>#REF!</v>
      </c>
      <c r="E3" s="476" t="e">
        <f>#REF!</f>
        <v>#REF!</v>
      </c>
      <c r="F3" s="476" t="e">
        <f>#REF!</f>
        <v>#REF!</v>
      </c>
      <c r="G3" s="476" t="e">
        <f>#REF!</f>
        <v>#REF!</v>
      </c>
      <c r="H3" s="476" t="e">
        <f>#REF!</f>
        <v>#REF!</v>
      </c>
      <c r="I3" s="476" t="e">
        <f>#REF!</f>
        <v>#REF!</v>
      </c>
      <c r="J3" s="476" t="e">
        <f>#REF!</f>
        <v>#REF!</v>
      </c>
      <c r="K3" s="476" t="e">
        <f>#REF!</f>
        <v>#REF!</v>
      </c>
      <c r="L3" s="476" t="e">
        <f>#REF!</f>
        <v>#REF!</v>
      </c>
      <c r="M3" s="476" t="e">
        <f>#REF!</f>
        <v>#REF!</v>
      </c>
      <c r="N3" s="476" t="e">
        <f>#REF!</f>
        <v>#REF!</v>
      </c>
    </row>
    <row r="4" spans="1:19" ht="89.25" customHeight="1" x14ac:dyDescent="0.2">
      <c r="A4" s="217" t="str">
        <f>'расчет показат'!B41</f>
        <v>Доля объемов ТЭ, потребляемой БУ, расчеты за которую осуществляются с использованием приборов учета, в общем объеме ТЭ, потребляемой БУ на территории МО</v>
      </c>
      <c r="B4" s="476" t="e">
        <f>#REF!</f>
        <v>#REF!</v>
      </c>
      <c r="C4" s="476" t="e">
        <f>#REF!</f>
        <v>#REF!</v>
      </c>
      <c r="D4" s="476" t="e">
        <f>#REF!</f>
        <v>#REF!</v>
      </c>
      <c r="E4" s="476" t="e">
        <f>#REF!</f>
        <v>#REF!</v>
      </c>
      <c r="F4" s="476" t="e">
        <f>#REF!</f>
        <v>#REF!</v>
      </c>
      <c r="G4" s="476" t="e">
        <f>#REF!</f>
        <v>#REF!</v>
      </c>
      <c r="H4" s="476" t="e">
        <f>#REF!</f>
        <v>#REF!</v>
      </c>
      <c r="I4" s="476" t="e">
        <f>#REF!</f>
        <v>#REF!</v>
      </c>
      <c r="J4" s="476" t="e">
        <f>#REF!</f>
        <v>#REF!</v>
      </c>
      <c r="K4" s="476" t="e">
        <f>#REF!</f>
        <v>#REF!</v>
      </c>
      <c r="L4" s="476" t="e">
        <f>#REF!</f>
        <v>#REF!</v>
      </c>
      <c r="M4" s="476" t="e">
        <f>#REF!</f>
        <v>#REF!</v>
      </c>
      <c r="N4" s="476" t="e">
        <f>#REF!</f>
        <v>#REF!</v>
      </c>
    </row>
    <row r="5" spans="1:19" ht="87" customHeight="1" x14ac:dyDescent="0.2">
      <c r="A5" s="217" t="str">
        <f>'расчет показат'!B42</f>
        <v>Доля объемов воды, потребляемой БУ, расчеты за которую осуществляются с использованием приборов учета, в общем объеме воды, потребляемой БУ на территории МО</v>
      </c>
      <c r="B5" s="476" t="e">
        <f>#REF!</f>
        <v>#REF!</v>
      </c>
      <c r="C5" s="476" t="e">
        <f>#REF!</f>
        <v>#REF!</v>
      </c>
      <c r="D5" s="476" t="e">
        <f>#REF!</f>
        <v>#REF!</v>
      </c>
      <c r="E5" s="476" t="e">
        <f>#REF!</f>
        <v>#REF!</v>
      </c>
      <c r="F5" s="476" t="e">
        <f>#REF!</f>
        <v>#REF!</v>
      </c>
      <c r="G5" s="476" t="e">
        <f>#REF!</f>
        <v>#REF!</v>
      </c>
      <c r="H5" s="476" t="e">
        <f>#REF!</f>
        <v>#REF!</v>
      </c>
      <c r="I5" s="476" t="e">
        <f>#REF!</f>
        <v>#REF!</v>
      </c>
      <c r="J5" s="476" t="e">
        <f>#REF!</f>
        <v>#REF!</v>
      </c>
      <c r="K5" s="476" t="e">
        <f>#REF!</f>
        <v>#REF!</v>
      </c>
      <c r="L5" s="476" t="e">
        <f>#REF!</f>
        <v>#REF!</v>
      </c>
      <c r="M5" s="476" t="e">
        <f>#REF!</f>
        <v>#REF!</v>
      </c>
      <c r="N5" s="476" t="e">
        <f>#REF!</f>
        <v>#REF!</v>
      </c>
    </row>
    <row r="6" spans="1:19" ht="114.75" x14ac:dyDescent="0.2">
      <c r="A6" s="217" t="str">
        <f>'расчет показат'!B43</f>
        <v>Доля объемов природного газа, потребляемого БУ, расчеты за который осуществляются с использованием приборов учета, в общем объеме природного газа, потребляемого БУ на территории МО</v>
      </c>
      <c r="B6" s="476" t="e">
        <f>#REF!</f>
        <v>#REF!</v>
      </c>
      <c r="C6" s="476" t="e">
        <f>#REF!</f>
        <v>#REF!</v>
      </c>
      <c r="D6" s="476" t="e">
        <f>#REF!</f>
        <v>#REF!</v>
      </c>
      <c r="E6" s="476" t="e">
        <f>#REF!</f>
        <v>#REF!</v>
      </c>
      <c r="F6" s="476" t="e">
        <f>#REF!</f>
        <v>#REF!</v>
      </c>
      <c r="G6" s="476" t="e">
        <f>#REF!</f>
        <v>#REF!</v>
      </c>
      <c r="H6" s="476" t="e">
        <f>#REF!</f>
        <v>#REF!</v>
      </c>
      <c r="I6" s="476" t="e">
        <f>#REF!</f>
        <v>#REF!</v>
      </c>
      <c r="J6" s="476" t="e">
        <f>#REF!</f>
        <v>#REF!</v>
      </c>
      <c r="K6" s="476" t="e">
        <f>#REF!</f>
        <v>#REF!</v>
      </c>
      <c r="L6" s="476" t="e">
        <f>#REF!</f>
        <v>#REF!</v>
      </c>
      <c r="M6" s="476" t="e">
        <f>#REF!</f>
        <v>#REF!</v>
      </c>
      <c r="N6" s="476" t="e">
        <f>#REF!</f>
        <v>#REF!</v>
      </c>
    </row>
    <row r="26" spans="4:6" ht="15.75" thickBot="1" x14ac:dyDescent="0.3">
      <c r="D26" s="249" t="s">
        <v>0</v>
      </c>
    </row>
    <row r="27" spans="4:6" ht="15" x14ac:dyDescent="0.25">
      <c r="D27" s="249" t="s">
        <v>1</v>
      </c>
      <c r="F27" s="243"/>
    </row>
    <row r="28" spans="4:6" ht="15" x14ac:dyDescent="0.25">
      <c r="D28" s="249" t="s">
        <v>2</v>
      </c>
      <c r="F28" s="244"/>
    </row>
    <row r="29" spans="4:6" ht="15.75" thickBot="1" x14ac:dyDescent="0.3">
      <c r="D29" s="249" t="s">
        <v>3</v>
      </c>
      <c r="F29" s="245"/>
    </row>
    <row r="35" spans="4:4" ht="15" x14ac:dyDescent="0.25">
      <c r="D35" s="249" t="s">
        <v>103</v>
      </c>
    </row>
    <row r="36" spans="4:4" ht="15" x14ac:dyDescent="0.25">
      <c r="D36" s="249" t="s">
        <v>106</v>
      </c>
    </row>
    <row r="41" spans="4:4" x14ac:dyDescent="0.2">
      <c r="D41" s="252"/>
    </row>
  </sheetData>
  <sheetProtection password="CF6E" sheet="1" objects="1" scenarios="1" selectLockedCells="1" selectUnlockedCells="1"/>
  <mergeCells count="1">
    <mergeCell ref="A1:S1"/>
  </mergeCells>
  <phoneticPr fontId="24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C5" sqref="C5"/>
    </sheetView>
  </sheetViews>
  <sheetFormatPr defaultRowHeight="12.75" x14ac:dyDescent="0.2"/>
  <cols>
    <col min="1" max="1" width="26" style="216" customWidth="1"/>
    <col min="2" max="2" width="9.140625" style="216"/>
    <col min="3" max="3" width="15.140625" style="216" customWidth="1"/>
    <col min="4" max="16384" width="9.140625" style="216"/>
  </cols>
  <sheetData>
    <row r="1" spans="1:14" ht="33" customHeight="1" x14ac:dyDescent="0.25">
      <c r="A1" s="658" t="str">
        <f>'расчет показат'!A15:S15</f>
        <v>Группа B. Целевые показатели в области энергосбережения и повышения энергетической эффективности, отражающие экономию по отдельным видам энергетических ресурсов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</row>
    <row r="2" spans="1:14" x14ac:dyDescent="0.2">
      <c r="A2" s="215" t="s">
        <v>413</v>
      </c>
      <c r="B2" s="471">
        <f>'расчет показат'!E4</f>
        <v>2007</v>
      </c>
      <c r="C2" s="471">
        <f>'расчет показат'!F4</f>
        <v>2008</v>
      </c>
      <c r="D2" s="471">
        <f>'расчет показат'!G4</f>
        <v>2009</v>
      </c>
      <c r="E2" s="471">
        <f>'расчет показат'!H4</f>
        <v>2010</v>
      </c>
      <c r="F2" s="471">
        <f>'расчет показат'!I4</f>
        <v>2011</v>
      </c>
      <c r="G2" s="471">
        <f>'расчет показат'!J4</f>
        <v>2012</v>
      </c>
      <c r="H2" s="471">
        <f>'расчет показат'!K4</f>
        <v>2013</v>
      </c>
      <c r="I2" s="471">
        <f>'расчет показат'!L4</f>
        <v>2014</v>
      </c>
      <c r="J2" s="471">
        <f>'расчет показат'!M4</f>
        <v>2015</v>
      </c>
      <c r="K2" s="471">
        <f>'расчет показат'!N4</f>
        <v>2016</v>
      </c>
      <c r="L2" s="471">
        <f>'расчет показат'!O4</f>
        <v>2017</v>
      </c>
      <c r="M2" s="471">
        <f>'расчет показат'!P4</f>
        <v>2018</v>
      </c>
      <c r="N2" s="471">
        <f>'расчет показат'!Q4</f>
        <v>2019</v>
      </c>
    </row>
    <row r="3" spans="1:14" ht="40.5" customHeight="1" x14ac:dyDescent="0.2">
      <c r="A3" s="217" t="s">
        <v>415</v>
      </c>
      <c r="B3" s="472">
        <f>'расчет показат'!E16</f>
        <v>0</v>
      </c>
      <c r="C3" s="472">
        <f>'расчет показат'!F16</f>
        <v>0</v>
      </c>
      <c r="D3" s="472">
        <f>'расчет показат'!G16</f>
        <v>0</v>
      </c>
      <c r="E3" s="473" t="e">
        <f>#REF!</f>
        <v>#REF!</v>
      </c>
      <c r="F3" s="473" t="e">
        <f>#REF!</f>
        <v>#REF!</v>
      </c>
      <c r="G3" s="473" t="e">
        <f>#REF!</f>
        <v>#REF!</v>
      </c>
      <c r="H3" s="473" t="e">
        <f>#REF!</f>
        <v>#REF!</v>
      </c>
      <c r="I3" s="473" t="e">
        <f>#REF!</f>
        <v>#REF!</v>
      </c>
      <c r="J3" s="473" t="e">
        <f>#REF!</f>
        <v>#REF!</v>
      </c>
      <c r="K3" s="473" t="e">
        <f>#REF!</f>
        <v>#REF!</v>
      </c>
      <c r="L3" s="473" t="e">
        <f>#REF!</f>
        <v>#REF!</v>
      </c>
      <c r="M3" s="473" t="e">
        <f>#REF!</f>
        <v>#REF!</v>
      </c>
      <c r="N3" s="473" t="e">
        <f>#REF!</f>
        <v>#REF!</v>
      </c>
    </row>
    <row r="4" spans="1:14" ht="38.25" x14ac:dyDescent="0.2">
      <c r="A4" s="217" t="s">
        <v>339</v>
      </c>
      <c r="B4" s="472">
        <f>'расчет показат'!E18</f>
        <v>0</v>
      </c>
      <c r="C4" s="472">
        <f>'расчет показат'!F18</f>
        <v>0</v>
      </c>
      <c r="D4" s="472">
        <f>'расчет показат'!G18</f>
        <v>0</v>
      </c>
      <c r="E4" s="473" t="e">
        <f>#REF!</f>
        <v>#REF!</v>
      </c>
      <c r="F4" s="473" t="e">
        <f>#REF!</f>
        <v>#REF!</v>
      </c>
      <c r="G4" s="473" t="e">
        <f>#REF!</f>
        <v>#REF!</v>
      </c>
      <c r="H4" s="473" t="e">
        <f>#REF!</f>
        <v>#REF!</v>
      </c>
      <c r="I4" s="473" t="e">
        <f>#REF!</f>
        <v>#REF!</v>
      </c>
      <c r="J4" s="473" t="e">
        <f>#REF!</f>
        <v>#REF!</v>
      </c>
      <c r="K4" s="473" t="e">
        <f>#REF!</f>
        <v>#REF!</v>
      </c>
      <c r="L4" s="473" t="e">
        <f>#REF!</f>
        <v>#REF!</v>
      </c>
      <c r="M4" s="473" t="e">
        <f>#REF!</f>
        <v>#REF!</v>
      </c>
      <c r="N4" s="473" t="e">
        <f>#REF!</f>
        <v>#REF!</v>
      </c>
    </row>
    <row r="5" spans="1:14" ht="38.25" x14ac:dyDescent="0.2">
      <c r="A5" s="217" t="s">
        <v>338</v>
      </c>
      <c r="B5" s="472">
        <f>'расчет показат'!E20</f>
        <v>0</v>
      </c>
      <c r="C5" s="472">
        <f>'расчет показат'!F20</f>
        <v>0</v>
      </c>
      <c r="D5" s="472">
        <f>'расчет показат'!G20</f>
        <v>0</v>
      </c>
      <c r="E5" s="473" t="e">
        <f>#REF!</f>
        <v>#REF!</v>
      </c>
      <c r="F5" s="473" t="e">
        <f>#REF!</f>
        <v>#REF!</v>
      </c>
      <c r="G5" s="473" t="e">
        <f>#REF!</f>
        <v>#REF!</v>
      </c>
      <c r="H5" s="473" t="e">
        <f>#REF!</f>
        <v>#REF!</v>
      </c>
      <c r="I5" s="473" t="e">
        <f>#REF!</f>
        <v>#REF!</v>
      </c>
      <c r="J5" s="473" t="e">
        <f>#REF!</f>
        <v>#REF!</v>
      </c>
      <c r="K5" s="473" t="e">
        <f>#REF!</f>
        <v>#REF!</v>
      </c>
      <c r="L5" s="473" t="e">
        <f>#REF!</f>
        <v>#REF!</v>
      </c>
      <c r="M5" s="473" t="e">
        <f>#REF!</f>
        <v>#REF!</v>
      </c>
      <c r="N5" s="473" t="e">
        <f>#REF!</f>
        <v>#REF!</v>
      </c>
    </row>
    <row r="6" spans="1:14" ht="38.25" x14ac:dyDescent="0.2">
      <c r="A6" s="217" t="s">
        <v>414</v>
      </c>
      <c r="B6" s="472">
        <f>'расчет показат'!E22</f>
        <v>0</v>
      </c>
      <c r="C6" s="472">
        <f>'расчет показат'!F22</f>
        <v>0</v>
      </c>
      <c r="D6" s="472">
        <f>'расчет показат'!G22</f>
        <v>0</v>
      </c>
      <c r="E6" s="472" t="e">
        <f>#REF!</f>
        <v>#REF!</v>
      </c>
      <c r="F6" s="472" t="e">
        <f>#REF!</f>
        <v>#REF!</v>
      </c>
      <c r="G6" s="472" t="e">
        <f>#REF!</f>
        <v>#REF!</v>
      </c>
      <c r="H6" s="472" t="e">
        <f>#REF!</f>
        <v>#REF!</v>
      </c>
      <c r="I6" s="472" t="e">
        <f>#REF!</f>
        <v>#REF!</v>
      </c>
      <c r="J6" s="472" t="e">
        <f>#REF!</f>
        <v>#REF!</v>
      </c>
      <c r="K6" s="472" t="e">
        <f>#REF!</f>
        <v>#REF!</v>
      </c>
      <c r="L6" s="472" t="e">
        <f>#REF!</f>
        <v>#REF!</v>
      </c>
      <c r="M6" s="472" t="e">
        <f>#REF!</f>
        <v>#REF!</v>
      </c>
      <c r="N6" s="472" t="e">
        <f>#REF!</f>
        <v>#REF!</v>
      </c>
    </row>
    <row r="26" spans="4:6" ht="15.75" thickBot="1" x14ac:dyDescent="0.3">
      <c r="D26" s="249" t="s">
        <v>0</v>
      </c>
    </row>
    <row r="27" spans="4:6" ht="15" x14ac:dyDescent="0.25">
      <c r="D27" s="249" t="s">
        <v>1</v>
      </c>
      <c r="F27" s="243"/>
    </row>
    <row r="28" spans="4:6" ht="15" x14ac:dyDescent="0.25">
      <c r="D28" s="249" t="s">
        <v>2</v>
      </c>
      <c r="F28" s="244"/>
    </row>
    <row r="29" spans="4:6" ht="15.75" thickBot="1" x14ac:dyDescent="0.3">
      <c r="D29" s="249" t="s">
        <v>3</v>
      </c>
      <c r="F29" s="245"/>
    </row>
    <row r="35" spans="4:4" ht="15" x14ac:dyDescent="0.25">
      <c r="D35" s="249" t="s">
        <v>103</v>
      </c>
    </row>
    <row r="36" spans="4:4" ht="15" x14ac:dyDescent="0.25">
      <c r="D36" s="249" t="s">
        <v>106</v>
      </c>
    </row>
    <row r="41" spans="4:4" x14ac:dyDescent="0.2">
      <c r="D41" s="252"/>
    </row>
  </sheetData>
  <sheetProtection password="CF6E" sheet="1" objects="1" scenarios="1" selectLockedCells="1" selectUnlockedCells="1"/>
  <mergeCells count="1">
    <mergeCell ref="A1:N1"/>
  </mergeCells>
  <phoneticPr fontId="24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88" workbookViewId="0">
      <selection activeCell="K31" sqref="K31"/>
    </sheetView>
  </sheetViews>
  <sheetFormatPr defaultRowHeight="15.75" x14ac:dyDescent="0.25"/>
  <cols>
    <col min="1" max="1" width="61.42578125" style="220" customWidth="1"/>
    <col min="2" max="2" width="9.140625" style="220"/>
    <col min="3" max="3" width="15.140625" style="220" customWidth="1"/>
    <col min="4" max="16384" width="9.140625" style="220"/>
  </cols>
  <sheetData>
    <row r="1" spans="1:14" x14ac:dyDescent="0.25">
      <c r="A1" s="219"/>
      <c r="B1" s="474">
        <f>'расчет показат'!E4</f>
        <v>2007</v>
      </c>
      <c r="C1" s="474">
        <f>'расчет показат'!F4</f>
        <v>2008</v>
      </c>
      <c r="D1" s="474">
        <f>'расчет показат'!G4</f>
        <v>2009</v>
      </c>
      <c r="E1" s="474">
        <f>'расчет показат'!H4</f>
        <v>2010</v>
      </c>
      <c r="F1" s="474">
        <f>'расчет показат'!I4</f>
        <v>2011</v>
      </c>
      <c r="G1" s="474">
        <f>'расчет показат'!J4</f>
        <v>2012</v>
      </c>
      <c r="H1" s="474">
        <f>'расчет показат'!K4</f>
        <v>2013</v>
      </c>
      <c r="I1" s="474">
        <f>'расчет показат'!L4</f>
        <v>2014</v>
      </c>
      <c r="J1" s="474">
        <f>'расчет показат'!M4</f>
        <v>2015</v>
      </c>
      <c r="K1" s="474">
        <f>'расчет показат'!N4</f>
        <v>2016</v>
      </c>
      <c r="L1" s="474">
        <f>'расчет показат'!O4</f>
        <v>2017</v>
      </c>
      <c r="M1" s="474">
        <f>'расчет показат'!P4</f>
        <v>2018</v>
      </c>
      <c r="N1" s="474">
        <f>'расчет показат'!Q4</f>
        <v>2019</v>
      </c>
    </row>
    <row r="2" spans="1:14" ht="62.25" customHeight="1" x14ac:dyDescent="0.25">
      <c r="A2" s="221" t="str">
        <f>'расчет показат'!B8</f>
        <v>Доля объемов ЭЭ, расчеты за которую осуществляются с использованием приборов учета (в части МКД - с использованием коллективных приборов учета), в общем объеме ЭЭ, потребляемой на территории МО</v>
      </c>
      <c r="B2" s="475" t="e">
        <f>#REF!</f>
        <v>#REF!</v>
      </c>
      <c r="C2" s="475" t="e">
        <f>#REF!</f>
        <v>#REF!</v>
      </c>
      <c r="D2" s="475" t="e">
        <f>#REF!</f>
        <v>#REF!</v>
      </c>
      <c r="E2" s="475" t="e">
        <f>#REF!</f>
        <v>#REF!</v>
      </c>
      <c r="F2" s="475" t="e">
        <f>#REF!</f>
        <v>#REF!</v>
      </c>
      <c r="G2" s="475" t="e">
        <f>#REF!</f>
        <v>#REF!</v>
      </c>
      <c r="H2" s="475" t="e">
        <f>#REF!</f>
        <v>#REF!</v>
      </c>
      <c r="I2" s="475" t="e">
        <f>#REF!</f>
        <v>#REF!</v>
      </c>
      <c r="J2" s="475" t="e">
        <f>#REF!</f>
        <v>#REF!</v>
      </c>
      <c r="K2" s="475" t="e">
        <f>#REF!</f>
        <v>#REF!</v>
      </c>
      <c r="L2" s="475" t="e">
        <f>#REF!</f>
        <v>#REF!</v>
      </c>
      <c r="M2" s="475" t="e">
        <f>#REF!</f>
        <v>#REF!</v>
      </c>
      <c r="N2" s="475" t="e">
        <f>#REF!</f>
        <v>#REF!</v>
      </c>
    </row>
    <row r="3" spans="1:14" ht="65.25" customHeight="1" x14ac:dyDescent="0.25">
      <c r="A3" s="221" t="str">
        <f>'расчет показат'!B9</f>
        <v>Доля объемов ТЭ, расчеты за которую осуществляются с использованием приборов учета (в части МКД - с использованием коллективных приборов учета), в общем объеме ТЭ, потребляемой на территории МО</v>
      </c>
      <c r="B3" s="475" t="e">
        <f>#REF!</f>
        <v>#REF!</v>
      </c>
      <c r="C3" s="475" t="e">
        <f>#REF!</f>
        <v>#REF!</v>
      </c>
      <c r="D3" s="475" t="e">
        <f>#REF!</f>
        <v>#REF!</v>
      </c>
      <c r="E3" s="475" t="e">
        <f>#REF!</f>
        <v>#REF!</v>
      </c>
      <c r="F3" s="475" t="e">
        <f>#REF!</f>
        <v>#REF!</v>
      </c>
      <c r="G3" s="475" t="e">
        <f>#REF!</f>
        <v>#REF!</v>
      </c>
      <c r="H3" s="475" t="e">
        <f>#REF!</f>
        <v>#REF!</v>
      </c>
      <c r="I3" s="475" t="e">
        <f>#REF!</f>
        <v>#REF!</v>
      </c>
      <c r="J3" s="475" t="e">
        <f>#REF!</f>
        <v>#REF!</v>
      </c>
      <c r="K3" s="475" t="e">
        <f>#REF!</f>
        <v>#REF!</v>
      </c>
      <c r="L3" s="475" t="e">
        <f>#REF!</f>
        <v>#REF!</v>
      </c>
      <c r="M3" s="475" t="e">
        <f>#REF!</f>
        <v>#REF!</v>
      </c>
      <c r="N3" s="475" t="e">
        <f>#REF!</f>
        <v>#REF!</v>
      </c>
    </row>
    <row r="4" spans="1:14" ht="64.5" customHeight="1" x14ac:dyDescent="0.25">
      <c r="A4" s="221" t="str">
        <f>'расчет показат'!B10</f>
        <v>Доля объемов воды, расчеты за которую осуществляются с использованием приборов учета (в части МКД - с использованием коллективных приборов учета), в общем объеме воды, потребляемой на территории МО</v>
      </c>
      <c r="B4" s="475" t="e">
        <f>#REF!</f>
        <v>#REF!</v>
      </c>
      <c r="C4" s="475" t="e">
        <f>#REF!</f>
        <v>#REF!</v>
      </c>
      <c r="D4" s="475" t="e">
        <f>#REF!</f>
        <v>#REF!</v>
      </c>
      <c r="E4" s="475" t="e">
        <f>#REF!</f>
        <v>#REF!</v>
      </c>
      <c r="F4" s="475" t="e">
        <f>#REF!</f>
        <v>#REF!</v>
      </c>
      <c r="G4" s="475" t="e">
        <f>#REF!</f>
        <v>#REF!</v>
      </c>
      <c r="H4" s="475" t="e">
        <f>#REF!</f>
        <v>#REF!</v>
      </c>
      <c r="I4" s="475" t="e">
        <f>#REF!</f>
        <v>#REF!</v>
      </c>
      <c r="J4" s="475" t="e">
        <f>#REF!</f>
        <v>#REF!</v>
      </c>
      <c r="K4" s="475" t="e">
        <f>#REF!</f>
        <v>#REF!</v>
      </c>
      <c r="L4" s="475" t="e">
        <f>#REF!</f>
        <v>#REF!</v>
      </c>
      <c r="M4" s="475" t="e">
        <f>#REF!</f>
        <v>#REF!</v>
      </c>
      <c r="N4" s="475" t="e">
        <f>#REF!</f>
        <v>#REF!</v>
      </c>
    </row>
    <row r="5" spans="1:14" ht="79.5" customHeight="1" x14ac:dyDescent="0.25">
      <c r="A5" s="221" t="str">
        <f>'расчет показат'!B11</f>
        <v>Доля объемов природного газа, расчеты за который осуществляются с использованием приборов учета (в части МКД - с использованием индивидуальных и общих приборов учета, в общем объеме природного газа, потребляемого на территории МО</v>
      </c>
      <c r="B5" s="475" t="e">
        <f>#REF!</f>
        <v>#REF!</v>
      </c>
      <c r="C5" s="475" t="e">
        <f>#REF!</f>
        <v>#REF!</v>
      </c>
      <c r="D5" s="475" t="e">
        <f>#REF!</f>
        <v>#REF!</v>
      </c>
      <c r="E5" s="475" t="e">
        <f>#REF!</f>
        <v>#REF!</v>
      </c>
      <c r="F5" s="475" t="e">
        <f>#REF!</f>
        <v>#REF!</v>
      </c>
      <c r="G5" s="475" t="e">
        <f>#REF!</f>
        <v>#REF!</v>
      </c>
      <c r="H5" s="475" t="e">
        <f>#REF!</f>
        <v>#REF!</v>
      </c>
      <c r="I5" s="475" t="e">
        <f>#REF!</f>
        <v>#REF!</v>
      </c>
      <c r="J5" s="475" t="e">
        <f>#REF!</f>
        <v>#REF!</v>
      </c>
      <c r="K5" s="475" t="e">
        <f>#REF!</f>
        <v>#REF!</v>
      </c>
      <c r="L5" s="475" t="e">
        <f>#REF!</f>
        <v>#REF!</v>
      </c>
      <c r="M5" s="475" t="e">
        <f>#REF!</f>
        <v>#REF!</v>
      </c>
      <c r="N5" s="475" t="e">
        <f>#REF!</f>
        <v>#REF!</v>
      </c>
    </row>
    <row r="26" spans="4:6" ht="16.5" thickBot="1" x14ac:dyDescent="0.3">
      <c r="D26" s="249" t="s">
        <v>0</v>
      </c>
    </row>
    <row r="27" spans="4:6" x14ac:dyDescent="0.25">
      <c r="D27" s="249" t="s">
        <v>1</v>
      </c>
      <c r="F27" s="246"/>
    </row>
    <row r="28" spans="4:6" x14ac:dyDescent="0.25">
      <c r="D28" s="249" t="s">
        <v>2</v>
      </c>
      <c r="F28" s="247"/>
    </row>
    <row r="29" spans="4:6" ht="16.5" thickBot="1" x14ac:dyDescent="0.3">
      <c r="D29" s="249" t="s">
        <v>3</v>
      </c>
      <c r="F29" s="248"/>
    </row>
    <row r="35" spans="4:4" x14ac:dyDescent="0.25">
      <c r="D35" s="249" t="s">
        <v>103</v>
      </c>
    </row>
    <row r="36" spans="4:4" x14ac:dyDescent="0.25">
      <c r="D36" s="249" t="s">
        <v>106</v>
      </c>
    </row>
    <row r="41" spans="4:4" x14ac:dyDescent="0.25">
      <c r="D41" s="253"/>
    </row>
  </sheetData>
  <sheetProtection password="CF6E" sheet="1" objects="1" scenarios="1" selectLockedCells="1" selectUnlockedCells="1"/>
  <phoneticPr fontId="24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4" workbookViewId="0">
      <selection activeCell="F4" sqref="F4"/>
    </sheetView>
  </sheetViews>
  <sheetFormatPr defaultRowHeight="12.75" x14ac:dyDescent="0.2"/>
  <cols>
    <col min="1" max="1" width="29" style="216" customWidth="1"/>
    <col min="2" max="2" width="10.42578125" style="216" customWidth="1"/>
    <col min="3" max="3" width="15.140625" style="216" customWidth="1"/>
    <col min="4" max="16384" width="9.140625" style="216"/>
  </cols>
  <sheetData>
    <row r="1" spans="1:16" x14ac:dyDescent="0.2">
      <c r="A1" s="214" t="s">
        <v>513</v>
      </c>
      <c r="B1" s="214"/>
      <c r="C1" s="214"/>
      <c r="D1" s="215">
        <f>'расчет показат'!E4</f>
        <v>2007</v>
      </c>
      <c r="E1" s="215">
        <f>'расчет показат'!F4</f>
        <v>2008</v>
      </c>
      <c r="F1" s="215">
        <f>'расчет показат'!G4</f>
        <v>2009</v>
      </c>
      <c r="G1" s="215">
        <f>'расчет показат'!H4</f>
        <v>2010</v>
      </c>
      <c r="H1" s="215">
        <f>'расчет показат'!I4</f>
        <v>2011</v>
      </c>
      <c r="I1" s="215">
        <f>'расчет показат'!J4</f>
        <v>2012</v>
      </c>
      <c r="J1" s="215">
        <f>'расчет показат'!K4</f>
        <v>2013</v>
      </c>
      <c r="K1" s="215">
        <f>'расчет показат'!L4</f>
        <v>2014</v>
      </c>
      <c r="L1" s="215">
        <f>'расчет показат'!M4</f>
        <v>2015</v>
      </c>
      <c r="M1" s="215">
        <f>'расчет показат'!N4</f>
        <v>2016</v>
      </c>
      <c r="N1" s="215">
        <f>'расчет показат'!O4</f>
        <v>2017</v>
      </c>
      <c r="O1" s="215">
        <f>'расчет показат'!P4</f>
        <v>2018</v>
      </c>
      <c r="P1" s="215">
        <f>'расчет показат'!Q4</f>
        <v>2019</v>
      </c>
    </row>
    <row r="2" spans="1:16" ht="41.25" customHeight="1" x14ac:dyDescent="0.2">
      <c r="A2" s="217" t="e">
        <f>#REF!</f>
        <v>#REF!</v>
      </c>
      <c r="B2" s="217" t="e">
        <f>#REF!</f>
        <v>#REF!</v>
      </c>
      <c r="C2" s="214"/>
      <c r="D2" s="218" t="e">
        <f>#REF!</f>
        <v>#REF!</v>
      </c>
      <c r="E2" s="218" t="e">
        <f>#REF!</f>
        <v>#REF!</v>
      </c>
      <c r="F2" s="218" t="e">
        <f>#REF!</f>
        <v>#REF!</v>
      </c>
      <c r="G2" s="218" t="e">
        <f>#REF!</f>
        <v>#REF!</v>
      </c>
      <c r="H2" s="218" t="e">
        <f>#REF!</f>
        <v>#REF!</v>
      </c>
      <c r="I2" s="218" t="e">
        <f>#REF!</f>
        <v>#REF!</v>
      </c>
      <c r="J2" s="218" t="e">
        <f>#REF!</f>
        <v>#REF!</v>
      </c>
      <c r="K2" s="218" t="e">
        <f>#REF!</f>
        <v>#REF!</v>
      </c>
      <c r="L2" s="218" t="e">
        <f>#REF!</f>
        <v>#REF!</v>
      </c>
      <c r="M2" s="218" t="e">
        <f>#REF!</f>
        <v>#REF!</v>
      </c>
      <c r="N2" s="218" t="e">
        <f>#REF!</f>
        <v>#REF!</v>
      </c>
      <c r="O2" s="218" t="e">
        <f>#REF!</f>
        <v>#REF!</v>
      </c>
      <c r="P2" s="218" t="e">
        <f>#REF!</f>
        <v>#REF!</v>
      </c>
    </row>
    <row r="3" spans="1:16" ht="38.25" x14ac:dyDescent="0.2">
      <c r="A3" s="217" t="e">
        <f>#REF!</f>
        <v>#REF!</v>
      </c>
      <c r="B3" s="217" t="s">
        <v>515</v>
      </c>
      <c r="C3" s="214"/>
      <c r="D3" s="218" t="e">
        <f>#REF!</f>
        <v>#REF!</v>
      </c>
      <c r="E3" s="218" t="e">
        <f>#REF!</f>
        <v>#REF!</v>
      </c>
      <c r="F3" s="218" t="e">
        <f>#REF!</f>
        <v>#REF!</v>
      </c>
      <c r="G3" s="218" t="e">
        <f>#REF!</f>
        <v>#REF!</v>
      </c>
      <c r="H3" s="218" t="e">
        <f>#REF!</f>
        <v>#REF!</v>
      </c>
      <c r="I3" s="218" t="e">
        <f>#REF!</f>
        <v>#REF!</v>
      </c>
      <c r="J3" s="218" t="e">
        <f>#REF!</f>
        <v>#REF!</v>
      </c>
      <c r="K3" s="218" t="e">
        <f>#REF!</f>
        <v>#REF!</v>
      </c>
      <c r="L3" s="218" t="e">
        <f>#REF!</f>
        <v>#REF!</v>
      </c>
      <c r="M3" s="218" t="e">
        <f>#REF!</f>
        <v>#REF!</v>
      </c>
      <c r="N3" s="218" t="e">
        <f>#REF!</f>
        <v>#REF!</v>
      </c>
      <c r="O3" s="218" t="e">
        <f>#REF!</f>
        <v>#REF!</v>
      </c>
      <c r="P3" s="218" t="e">
        <f>#REF!</f>
        <v>#REF!</v>
      </c>
    </row>
    <row r="4" spans="1:16" ht="76.5" x14ac:dyDescent="0.2">
      <c r="A4" s="217" t="str">
        <f>'расчет показат'!B7</f>
        <v>Динамика энергоемкости муниципального продукта муниципальных программ области энергосбережения и повышения энергетической эффективности</v>
      </c>
      <c r="B4" s="214" t="str">
        <f>'расчет показат'!C8</f>
        <v>%</v>
      </c>
      <c r="C4" s="214"/>
      <c r="D4" s="218" t="e">
        <f>#REF!</f>
        <v>#REF!</v>
      </c>
      <c r="E4" s="218" t="e">
        <f>#REF!</f>
        <v>#REF!</v>
      </c>
      <c r="F4" s="218" t="e">
        <f>#REF!</f>
        <v>#REF!</v>
      </c>
      <c r="G4" s="218" t="e">
        <f>#REF!</f>
        <v>#REF!</v>
      </c>
      <c r="H4" s="218" t="e">
        <f>#REF!</f>
        <v>#REF!</v>
      </c>
      <c r="I4" s="218" t="e">
        <f>#REF!</f>
        <v>#REF!</v>
      </c>
      <c r="J4" s="218" t="e">
        <f>#REF!</f>
        <v>#REF!</v>
      </c>
      <c r="K4" s="218" t="e">
        <f>#REF!</f>
        <v>#REF!</v>
      </c>
      <c r="L4" s="218" t="e">
        <f>#REF!</f>
        <v>#REF!</v>
      </c>
      <c r="M4" s="218" t="e">
        <f>#REF!</f>
        <v>#REF!</v>
      </c>
      <c r="N4" s="218" t="e">
        <f>#REF!</f>
        <v>#REF!</v>
      </c>
      <c r="O4" s="218" t="e">
        <f>#REF!</f>
        <v>#REF!</v>
      </c>
      <c r="P4" s="218" t="e">
        <f>#REF!</f>
        <v>#REF!</v>
      </c>
    </row>
    <row r="26" spans="4:6" ht="15.75" thickBot="1" x14ac:dyDescent="0.3">
      <c r="D26" s="249" t="s">
        <v>0</v>
      </c>
    </row>
    <row r="27" spans="4:6" ht="15" x14ac:dyDescent="0.25">
      <c r="D27" s="249" t="s">
        <v>1</v>
      </c>
      <c r="F27" s="243"/>
    </row>
    <row r="28" spans="4:6" ht="15" x14ac:dyDescent="0.25">
      <c r="D28" s="249" t="s">
        <v>2</v>
      </c>
      <c r="F28" s="244"/>
    </row>
    <row r="29" spans="4:6" ht="15.75" thickBot="1" x14ac:dyDescent="0.3">
      <c r="D29" s="249" t="s">
        <v>3</v>
      </c>
      <c r="F29" s="245"/>
    </row>
    <row r="35" spans="4:4" ht="15" x14ac:dyDescent="0.25">
      <c r="D35" s="249" t="s">
        <v>103</v>
      </c>
    </row>
    <row r="36" spans="4:4" ht="15" x14ac:dyDescent="0.25">
      <c r="D36" s="249" t="s">
        <v>106</v>
      </c>
    </row>
    <row r="41" spans="4:4" x14ac:dyDescent="0.2">
      <c r="D41" s="252"/>
    </row>
  </sheetData>
  <sheetProtection password="CF6E" sheet="1" objects="1" scenarios="1" selectLockedCells="1" selectUnlockedCells="1"/>
  <phoneticPr fontId="24" type="noConversion"/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39"/>
  <sheetViews>
    <sheetView topLeftCell="E1" workbookViewId="0">
      <selection activeCell="L76" sqref="L76"/>
    </sheetView>
  </sheetViews>
  <sheetFormatPr defaultRowHeight="12.75" x14ac:dyDescent="0.2"/>
  <cols>
    <col min="1" max="1" width="4.42578125" customWidth="1"/>
    <col min="2" max="2" width="5.42578125" customWidth="1"/>
    <col min="3" max="3" width="30.7109375" style="2" customWidth="1"/>
    <col min="4" max="4" width="11" customWidth="1"/>
    <col min="5" max="5" width="10.140625" customWidth="1"/>
    <col min="6" max="6" width="11.42578125" customWidth="1"/>
    <col min="7" max="7" width="10.7109375" customWidth="1"/>
    <col min="8" max="8" width="14.42578125" customWidth="1"/>
    <col min="9" max="17" width="14.7109375" bestFit="1" customWidth="1"/>
  </cols>
  <sheetData>
    <row r="1" spans="1:17" ht="18.75" x14ac:dyDescent="0.3">
      <c r="A1" s="668" t="s">
        <v>171</v>
      </c>
      <c r="B1" s="668"/>
      <c r="C1" s="668"/>
      <c r="D1" s="668"/>
      <c r="E1" s="668"/>
      <c r="F1" s="668"/>
      <c r="G1" s="668"/>
      <c r="H1" s="668"/>
      <c r="I1" s="668"/>
      <c r="J1" s="668"/>
    </row>
    <row r="2" spans="1:17" ht="15.75" x14ac:dyDescent="0.25">
      <c r="C2" s="1"/>
      <c r="L2" t="s">
        <v>327</v>
      </c>
    </row>
    <row r="3" spans="1:17" ht="15.75" x14ac:dyDescent="0.25">
      <c r="C3" s="1"/>
      <c r="L3" s="332" t="e">
        <f>L6/E19*100</f>
        <v>#REF!</v>
      </c>
    </row>
    <row r="4" spans="1:17" ht="15.75" x14ac:dyDescent="0.25">
      <c r="C4" s="1"/>
    </row>
    <row r="5" spans="1:17" ht="15.75" x14ac:dyDescent="0.25">
      <c r="C5" s="1"/>
      <c r="G5" s="86" t="e">
        <f>M6/E19</f>
        <v>#REF!</v>
      </c>
      <c r="Q5" s="79" t="e">
        <f>SUM(Q8:Q16)</f>
        <v>#REF!</v>
      </c>
    </row>
    <row r="6" spans="1:17" ht="15.75" x14ac:dyDescent="0.25">
      <c r="C6" s="1"/>
      <c r="H6" t="e">
        <f t="shared" ref="H6:P6" si="0">SUM(H7:H16)</f>
        <v>#REF!</v>
      </c>
      <c r="I6" t="e">
        <f t="shared" si="0"/>
        <v>#REF!</v>
      </c>
      <c r="J6" t="e">
        <f t="shared" si="0"/>
        <v>#REF!</v>
      </c>
      <c r="K6" t="e">
        <f t="shared" si="0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s="414" t="e">
        <f>SUM(Q7:Q16)</f>
        <v>#REF!</v>
      </c>
    </row>
    <row r="7" spans="1:17" ht="15.75" x14ac:dyDescent="0.25">
      <c r="C7" s="1"/>
      <c r="G7" t="e">
        <f>L6/E19</f>
        <v>#REF!</v>
      </c>
      <c r="Q7" s="79" t="e">
        <f>R19-Q5</f>
        <v>#REF!</v>
      </c>
    </row>
    <row r="8" spans="1:17" ht="15.75" x14ac:dyDescent="0.25">
      <c r="C8" s="1"/>
      <c r="P8">
        <v>5</v>
      </c>
      <c r="Q8">
        <f>$P$8</f>
        <v>5</v>
      </c>
    </row>
    <row r="9" spans="1:17" ht="15.75" x14ac:dyDescent="0.25">
      <c r="C9" s="1"/>
      <c r="O9">
        <v>4</v>
      </c>
      <c r="P9">
        <v>4</v>
      </c>
      <c r="Q9">
        <f>$O$9</f>
        <v>4</v>
      </c>
    </row>
    <row r="10" spans="1:17" ht="15.75" x14ac:dyDescent="0.25">
      <c r="C10" s="1"/>
      <c r="N10">
        <v>4</v>
      </c>
      <c r="O10">
        <f>$N$10</f>
        <v>4</v>
      </c>
      <c r="P10">
        <f>$N$10</f>
        <v>4</v>
      </c>
      <c r="Q10">
        <f>$N$10</f>
        <v>4</v>
      </c>
    </row>
    <row r="11" spans="1:17" ht="15.75" x14ac:dyDescent="0.25">
      <c r="C11" s="1"/>
      <c r="M11">
        <v>3</v>
      </c>
      <c r="N11">
        <f>$M$11</f>
        <v>3</v>
      </c>
      <c r="O11">
        <f>$M$11</f>
        <v>3</v>
      </c>
      <c r="P11">
        <f>$M$11</f>
        <v>3</v>
      </c>
      <c r="Q11">
        <f>$M$11</f>
        <v>3</v>
      </c>
    </row>
    <row r="12" spans="1:17" ht="15.75" x14ac:dyDescent="0.25">
      <c r="C12" s="1"/>
      <c r="L12">
        <v>3</v>
      </c>
      <c r="M12">
        <f>$L$12</f>
        <v>3</v>
      </c>
      <c r="N12">
        <f>$L$12</f>
        <v>3</v>
      </c>
      <c r="O12">
        <f>$L$12</f>
        <v>3</v>
      </c>
      <c r="P12">
        <f>$L$12</f>
        <v>3</v>
      </c>
      <c r="Q12">
        <f>$L$12</f>
        <v>3</v>
      </c>
    </row>
    <row r="13" spans="1:17" ht="15.75" x14ac:dyDescent="0.25">
      <c r="C13" s="1"/>
      <c r="F13" s="79"/>
      <c r="G13" s="79"/>
      <c r="K13">
        <v>3</v>
      </c>
      <c r="L13">
        <f t="shared" ref="L13:Q13" si="1">$K$13</f>
        <v>3</v>
      </c>
      <c r="M13">
        <f t="shared" si="1"/>
        <v>3</v>
      </c>
      <c r="N13">
        <f t="shared" si="1"/>
        <v>3</v>
      </c>
      <c r="O13">
        <f t="shared" si="1"/>
        <v>3</v>
      </c>
      <c r="P13">
        <f t="shared" si="1"/>
        <v>3</v>
      </c>
      <c r="Q13">
        <f t="shared" si="1"/>
        <v>3</v>
      </c>
    </row>
    <row r="14" spans="1:17" x14ac:dyDescent="0.2">
      <c r="I14" s="298">
        <v>1.5</v>
      </c>
      <c r="J14">
        <v>2.5</v>
      </c>
      <c r="K14">
        <f>$J$14</f>
        <v>2.5</v>
      </c>
      <c r="L14">
        <f t="shared" ref="L14:Q14" si="2">$J$14</f>
        <v>2.5</v>
      </c>
      <c r="M14">
        <f t="shared" si="2"/>
        <v>2.5</v>
      </c>
      <c r="N14">
        <f t="shared" si="2"/>
        <v>2.5</v>
      </c>
      <c r="O14">
        <f t="shared" si="2"/>
        <v>2.5</v>
      </c>
      <c r="P14">
        <f t="shared" si="2"/>
        <v>2.5</v>
      </c>
      <c r="Q14">
        <f t="shared" si="2"/>
        <v>2.5</v>
      </c>
    </row>
    <row r="15" spans="1:17" x14ac:dyDescent="0.2">
      <c r="I15" s="86" t="e">
        <f>I185/1000</f>
        <v>#REF!</v>
      </c>
      <c r="J15" s="86" t="e">
        <f t="shared" ref="J15:Q15" si="3">J185/1000</f>
        <v>#REF!</v>
      </c>
      <c r="K15" s="86" t="e">
        <f t="shared" si="3"/>
        <v>#REF!</v>
      </c>
      <c r="L15" s="86" t="e">
        <f t="shared" si="3"/>
        <v>#REF!</v>
      </c>
      <c r="M15" s="86" t="e">
        <f t="shared" si="3"/>
        <v>#REF!</v>
      </c>
      <c r="N15" s="86" t="e">
        <f t="shared" si="3"/>
        <v>#REF!</v>
      </c>
      <c r="O15" s="86" t="e">
        <f t="shared" si="3"/>
        <v>#REF!</v>
      </c>
      <c r="P15" s="86" t="e">
        <f t="shared" si="3"/>
        <v>#REF!</v>
      </c>
      <c r="Q15" s="86" t="e">
        <f t="shared" si="3"/>
        <v>#REF!</v>
      </c>
    </row>
    <row r="16" spans="1:17" ht="63.75" customHeight="1" x14ac:dyDescent="0.2">
      <c r="B16" s="3"/>
      <c r="C16" s="4" t="s">
        <v>474</v>
      </c>
      <c r="D16" s="5" t="s">
        <v>480</v>
      </c>
      <c r="E16" s="659" t="s">
        <v>481</v>
      </c>
      <c r="F16" s="660"/>
      <c r="G16" s="660"/>
      <c r="H16" s="87" t="e">
        <f>E19-H19</f>
        <v>#REF!</v>
      </c>
      <c r="I16" s="87" t="e">
        <f>$H$16</f>
        <v>#REF!</v>
      </c>
      <c r="J16" s="87" t="e">
        <f>$H$16</f>
        <v>#REF!</v>
      </c>
      <c r="K16" s="87" t="e">
        <f t="shared" ref="K16:Q16" si="4">$H$16</f>
        <v>#REF!</v>
      </c>
      <c r="L16" s="87" t="e">
        <f t="shared" si="4"/>
        <v>#REF!</v>
      </c>
      <c r="M16" s="87" t="e">
        <f t="shared" si="4"/>
        <v>#REF!</v>
      </c>
      <c r="N16" s="87" t="e">
        <f t="shared" si="4"/>
        <v>#REF!</v>
      </c>
      <c r="O16" s="87" t="e">
        <f t="shared" si="4"/>
        <v>#REF!</v>
      </c>
      <c r="P16" s="87" t="e">
        <f t="shared" si="4"/>
        <v>#REF!</v>
      </c>
      <c r="Q16" s="87" t="e">
        <f t="shared" si="4"/>
        <v>#REF!</v>
      </c>
    </row>
    <row r="17" spans="2:19" ht="15.75" x14ac:dyDescent="0.25">
      <c r="B17" s="3"/>
      <c r="C17" s="6"/>
      <c r="D17" s="7"/>
      <c r="E17" s="8">
        <v>2007</v>
      </c>
      <c r="F17" s="9">
        <v>2008</v>
      </c>
      <c r="G17" s="9">
        <v>2009</v>
      </c>
      <c r="H17" s="9">
        <v>2010</v>
      </c>
      <c r="I17" s="9">
        <v>2011</v>
      </c>
      <c r="J17" s="9">
        <v>2012</v>
      </c>
      <c r="K17" s="9">
        <v>2013</v>
      </c>
      <c r="L17" s="9">
        <v>2014</v>
      </c>
      <c r="M17" s="9">
        <v>2015</v>
      </c>
      <c r="N17" s="9">
        <v>2016</v>
      </c>
      <c r="O17" s="9">
        <v>2017</v>
      </c>
      <c r="P17" s="9">
        <v>2018</v>
      </c>
      <c r="Q17" s="9">
        <v>2019</v>
      </c>
    </row>
    <row r="18" spans="2:19" ht="79.5" thickBot="1" x14ac:dyDescent="0.3">
      <c r="B18" s="10">
        <v>1</v>
      </c>
      <c r="C18" s="96" t="s">
        <v>482</v>
      </c>
      <c r="D18" s="11" t="s">
        <v>483</v>
      </c>
      <c r="E18" s="100" t="e">
        <f>#REF!</f>
        <v>#REF!</v>
      </c>
      <c r="F18" s="100" t="e">
        <f>E18</f>
        <v>#REF!</v>
      </c>
      <c r="G18" s="100" t="e">
        <f t="shared" ref="G18:Q18" si="5">F18</f>
        <v>#REF!</v>
      </c>
      <c r="H18" s="12" t="e">
        <f t="shared" si="5"/>
        <v>#REF!</v>
      </c>
      <c r="I18" s="12" t="e">
        <f t="shared" si="5"/>
        <v>#REF!</v>
      </c>
      <c r="J18" s="12" t="e">
        <f t="shared" si="5"/>
        <v>#REF!</v>
      </c>
      <c r="K18" s="12" t="e">
        <f t="shared" si="5"/>
        <v>#REF!</v>
      </c>
      <c r="L18" s="12" t="e">
        <f t="shared" si="5"/>
        <v>#REF!</v>
      </c>
      <c r="M18" s="12" t="e">
        <f t="shared" si="5"/>
        <v>#REF!</v>
      </c>
      <c r="N18" s="12" t="e">
        <f t="shared" si="5"/>
        <v>#REF!</v>
      </c>
      <c r="O18" s="12" t="e">
        <f t="shared" si="5"/>
        <v>#REF!</v>
      </c>
      <c r="P18" s="12" t="e">
        <f t="shared" si="5"/>
        <v>#REF!</v>
      </c>
      <c r="Q18" s="12" t="e">
        <f t="shared" si="5"/>
        <v>#REF!</v>
      </c>
      <c r="S18" s="110" t="e">
        <f>R19/E19</f>
        <v>#REF!</v>
      </c>
    </row>
    <row r="19" spans="2:19" ht="16.5" thickBot="1" x14ac:dyDescent="0.3">
      <c r="B19" s="10">
        <v>2</v>
      </c>
      <c r="C19" s="96" t="s">
        <v>484</v>
      </c>
      <c r="D19" s="11" t="s">
        <v>485</v>
      </c>
      <c r="E19" s="100" t="e">
        <f>#REF!</f>
        <v>#REF!</v>
      </c>
      <c r="F19" s="22" t="e">
        <f>F20*F18</f>
        <v>#REF!</v>
      </c>
      <c r="G19" s="22" t="e">
        <f>G20*G18</f>
        <v>#REF!</v>
      </c>
      <c r="H19" s="84" t="e">
        <f>H20*H18</f>
        <v>#REF!</v>
      </c>
      <c r="I19" s="84" t="e">
        <f>$E$19-I6</f>
        <v>#REF!</v>
      </c>
      <c r="J19" s="84" t="e">
        <f t="shared" ref="J19:P19" si="6">$E$19-J6</f>
        <v>#REF!</v>
      </c>
      <c r="K19" s="84" t="e">
        <f t="shared" si="6"/>
        <v>#REF!</v>
      </c>
      <c r="L19" s="84" t="e">
        <f t="shared" si="6"/>
        <v>#REF!</v>
      </c>
      <c r="M19" s="84" t="e">
        <f t="shared" si="6"/>
        <v>#REF!</v>
      </c>
      <c r="N19" s="84" t="e">
        <f t="shared" si="6"/>
        <v>#REF!</v>
      </c>
      <c r="O19" s="84" t="e">
        <f t="shared" si="6"/>
        <v>#REF!</v>
      </c>
      <c r="P19" s="84" t="e">
        <f t="shared" si="6"/>
        <v>#REF!</v>
      </c>
      <c r="Q19" s="84" t="e">
        <f>R20*Q18</f>
        <v>#REF!</v>
      </c>
      <c r="R19" s="359" t="e">
        <f>E19-Q19</f>
        <v>#REF!</v>
      </c>
      <c r="S19" t="s">
        <v>472</v>
      </c>
    </row>
    <row r="20" spans="2:19" ht="16.5" thickBot="1" x14ac:dyDescent="0.3">
      <c r="B20" s="10"/>
      <c r="C20" s="96" t="s">
        <v>390</v>
      </c>
      <c r="D20" s="11"/>
      <c r="E20" s="103" t="e">
        <f>#REF!</f>
        <v>#REF!</v>
      </c>
      <c r="F20" s="103" t="e">
        <f>#REF!</f>
        <v>#REF!</v>
      </c>
      <c r="G20" s="103" t="e">
        <f>#REF!</f>
        <v>#REF!</v>
      </c>
      <c r="H20" s="70" t="e">
        <f>E20*0.98</f>
        <v>#REF!</v>
      </c>
      <c r="I20" s="70" t="e">
        <f>I19/I18</f>
        <v>#REF!</v>
      </c>
      <c r="J20" s="84" t="e">
        <f t="shared" ref="J20:Q20" si="7">J19/J18</f>
        <v>#REF!</v>
      </c>
      <c r="K20" s="84" t="e">
        <f t="shared" si="7"/>
        <v>#REF!</v>
      </c>
      <c r="L20" s="84" t="e">
        <f t="shared" si="7"/>
        <v>#REF!</v>
      </c>
      <c r="M20" s="84" t="e">
        <f t="shared" si="7"/>
        <v>#REF!</v>
      </c>
      <c r="N20" s="84" t="e">
        <f t="shared" si="7"/>
        <v>#REF!</v>
      </c>
      <c r="O20" s="84" t="e">
        <f t="shared" si="7"/>
        <v>#REF!</v>
      </c>
      <c r="P20" s="84" t="e">
        <f t="shared" si="7"/>
        <v>#REF!</v>
      </c>
      <c r="Q20" s="84" t="e">
        <f t="shared" si="7"/>
        <v>#REF!</v>
      </c>
      <c r="R20" s="88" t="e">
        <f>E20-(E20*0.4)</f>
        <v>#REF!</v>
      </c>
    </row>
    <row r="21" spans="2:19" ht="16.5" thickBot="1" x14ac:dyDescent="0.3">
      <c r="B21" s="10">
        <v>3</v>
      </c>
      <c r="C21" s="96" t="s">
        <v>486</v>
      </c>
      <c r="D21" s="11" t="s">
        <v>487</v>
      </c>
      <c r="E21" s="100" t="e">
        <f>E22*E18*1000</f>
        <v>#REF!</v>
      </c>
      <c r="F21" s="12" t="e">
        <f>F22*F18*1000</f>
        <v>#REF!</v>
      </c>
      <c r="G21" s="12" t="e">
        <f>G22*G18*1000</f>
        <v>#REF!</v>
      </c>
      <c r="H21" s="84" t="e">
        <f>$E$21-H190</f>
        <v>#REF!</v>
      </c>
      <c r="I21" s="84" t="e">
        <f t="shared" ref="I21:Q21" si="8">$E$21-I190</f>
        <v>#REF!</v>
      </c>
      <c r="J21" s="84" t="e">
        <f t="shared" si="8"/>
        <v>#REF!</v>
      </c>
      <c r="K21" s="84" t="e">
        <f t="shared" si="8"/>
        <v>#REF!</v>
      </c>
      <c r="L21" s="84" t="e">
        <f t="shared" si="8"/>
        <v>#REF!</v>
      </c>
      <c r="M21" s="84" t="e">
        <f t="shared" si="8"/>
        <v>#REF!</v>
      </c>
      <c r="N21" s="84" t="e">
        <f t="shared" si="8"/>
        <v>#REF!</v>
      </c>
      <c r="O21" s="84" t="e">
        <f t="shared" si="8"/>
        <v>#REF!</v>
      </c>
      <c r="P21" s="84" t="e">
        <f t="shared" si="8"/>
        <v>#REF!</v>
      </c>
      <c r="Q21" s="84" t="e">
        <f t="shared" si="8"/>
        <v>#REF!</v>
      </c>
      <c r="R21" s="88"/>
    </row>
    <row r="22" spans="2:19" ht="16.5" thickBot="1" x14ac:dyDescent="0.3">
      <c r="B22" s="10"/>
      <c r="C22" s="96" t="s">
        <v>406</v>
      </c>
      <c r="D22" s="11"/>
      <c r="E22" s="102" t="e">
        <f>#REF!</f>
        <v>#REF!</v>
      </c>
      <c r="F22" s="102" t="e">
        <f>#REF!</f>
        <v>#REF!</v>
      </c>
      <c r="G22" s="102" t="e">
        <f>#REF!</f>
        <v>#REF!</v>
      </c>
      <c r="H22" s="104" t="e">
        <f>H21/H18/1000</f>
        <v>#REF!</v>
      </c>
      <c r="I22" s="104" t="e">
        <f t="shared" ref="I22:Q22" si="9">I21/I18/1000</f>
        <v>#REF!</v>
      </c>
      <c r="J22" s="104" t="e">
        <f t="shared" si="9"/>
        <v>#REF!</v>
      </c>
      <c r="K22" s="104" t="e">
        <f t="shared" si="9"/>
        <v>#REF!</v>
      </c>
      <c r="L22" s="104" t="e">
        <f t="shared" si="9"/>
        <v>#REF!</v>
      </c>
      <c r="M22" s="104" t="e">
        <f t="shared" si="9"/>
        <v>#REF!</v>
      </c>
      <c r="N22" s="104" t="e">
        <f t="shared" si="9"/>
        <v>#REF!</v>
      </c>
      <c r="O22" s="104" t="e">
        <f t="shared" si="9"/>
        <v>#REF!</v>
      </c>
      <c r="P22" s="104" t="e">
        <f t="shared" si="9"/>
        <v>#REF!</v>
      </c>
      <c r="Q22" s="104" t="e">
        <f t="shared" si="9"/>
        <v>#REF!</v>
      </c>
      <c r="R22" s="105"/>
    </row>
    <row r="23" spans="2:19" ht="16.5" thickBot="1" x14ac:dyDescent="0.3">
      <c r="B23" s="10">
        <v>4</v>
      </c>
      <c r="C23" s="96" t="s">
        <v>488</v>
      </c>
      <c r="D23" s="11" t="s">
        <v>489</v>
      </c>
      <c r="E23" s="101" t="e">
        <f>E24*E18</f>
        <v>#REF!</v>
      </c>
      <c r="F23" s="22" t="e">
        <f>F24*F18</f>
        <v>#REF!</v>
      </c>
      <c r="G23" s="22" t="e">
        <f>G24*G18</f>
        <v>#REF!</v>
      </c>
      <c r="H23" s="69" t="e">
        <f>$E$23-H200</f>
        <v>#REF!</v>
      </c>
      <c r="I23" s="69" t="e">
        <f>$E$23-I200</f>
        <v>#REF!</v>
      </c>
      <c r="J23" s="69" t="e">
        <f t="shared" ref="J23:Q23" si="10">$E$23-J200</f>
        <v>#REF!</v>
      </c>
      <c r="K23" s="69" t="e">
        <f t="shared" si="10"/>
        <v>#REF!</v>
      </c>
      <c r="L23" s="69" t="e">
        <f t="shared" si="10"/>
        <v>#REF!</v>
      </c>
      <c r="M23" s="69" t="e">
        <f t="shared" si="10"/>
        <v>#REF!</v>
      </c>
      <c r="N23" s="69" t="e">
        <f t="shared" si="10"/>
        <v>#REF!</v>
      </c>
      <c r="O23" s="69" t="e">
        <f t="shared" si="10"/>
        <v>#REF!</v>
      </c>
      <c r="P23" s="69" t="e">
        <f t="shared" si="10"/>
        <v>#REF!</v>
      </c>
      <c r="Q23" s="69" t="e">
        <f t="shared" si="10"/>
        <v>#REF!</v>
      </c>
    </row>
    <row r="24" spans="2:19" ht="16.5" thickBot="1" x14ac:dyDescent="0.3">
      <c r="B24" s="10"/>
      <c r="C24" s="96" t="s">
        <v>407</v>
      </c>
      <c r="D24" s="11"/>
      <c r="E24" s="101" t="e">
        <f>#REF!</f>
        <v>#REF!</v>
      </c>
      <c r="F24" s="101" t="e">
        <f>#REF!</f>
        <v>#REF!</v>
      </c>
      <c r="G24" s="101" t="e">
        <f>#REF!</f>
        <v>#REF!</v>
      </c>
      <c r="H24" s="84" t="e">
        <f>H23/H18</f>
        <v>#REF!</v>
      </c>
      <c r="I24" s="84" t="e">
        <f t="shared" ref="I24:Q24" si="11">I23/I18</f>
        <v>#REF!</v>
      </c>
      <c r="J24" s="84" t="e">
        <f t="shared" si="11"/>
        <v>#REF!</v>
      </c>
      <c r="K24" s="84" t="e">
        <f t="shared" si="11"/>
        <v>#REF!</v>
      </c>
      <c r="L24" s="84" t="e">
        <f t="shared" si="11"/>
        <v>#REF!</v>
      </c>
      <c r="M24" s="84" t="e">
        <f t="shared" si="11"/>
        <v>#REF!</v>
      </c>
      <c r="N24" s="84" t="e">
        <f t="shared" si="11"/>
        <v>#REF!</v>
      </c>
      <c r="O24" s="84" t="e">
        <f t="shared" si="11"/>
        <v>#REF!</v>
      </c>
      <c r="P24" s="84" t="e">
        <f t="shared" si="11"/>
        <v>#REF!</v>
      </c>
      <c r="Q24" s="84" t="e">
        <f t="shared" si="11"/>
        <v>#REF!</v>
      </c>
    </row>
    <row r="25" spans="2:19" ht="32.25" thickBot="1" x14ac:dyDescent="0.3">
      <c r="B25" s="10">
        <v>5</v>
      </c>
      <c r="C25" s="96" t="s">
        <v>490</v>
      </c>
      <c r="D25" s="11" t="s">
        <v>491</v>
      </c>
      <c r="E25" s="100" t="e">
        <f>E26*E18</f>
        <v>#REF!</v>
      </c>
      <c r="F25" s="12" t="e">
        <f>F26*F18</f>
        <v>#REF!</v>
      </c>
      <c r="G25" s="12" t="e">
        <f>G26*G18</f>
        <v>#REF!</v>
      </c>
      <c r="H25" s="3" t="e">
        <f>$E$25-H225</f>
        <v>#REF!</v>
      </c>
      <c r="I25" s="3" t="e">
        <f t="shared" ref="I25:Q25" si="12">$E$25-I225</f>
        <v>#REF!</v>
      </c>
      <c r="J25" s="3" t="e">
        <f t="shared" si="12"/>
        <v>#REF!</v>
      </c>
      <c r="K25" s="3" t="e">
        <f t="shared" si="12"/>
        <v>#REF!</v>
      </c>
      <c r="L25" s="3" t="e">
        <f t="shared" si="12"/>
        <v>#REF!</v>
      </c>
      <c r="M25" s="3" t="e">
        <f t="shared" si="12"/>
        <v>#REF!</v>
      </c>
      <c r="N25" s="3" t="e">
        <f t="shared" si="12"/>
        <v>#REF!</v>
      </c>
      <c r="O25" s="3" t="e">
        <f t="shared" si="12"/>
        <v>#REF!</v>
      </c>
      <c r="P25" s="3" t="e">
        <f t="shared" si="12"/>
        <v>#REF!</v>
      </c>
      <c r="Q25" s="3" t="e">
        <f t="shared" si="12"/>
        <v>#REF!</v>
      </c>
    </row>
    <row r="26" spans="2:19" ht="16.5" thickBot="1" x14ac:dyDescent="0.3">
      <c r="B26" s="10"/>
      <c r="C26" s="96" t="s">
        <v>408</v>
      </c>
      <c r="D26" s="250" t="s">
        <v>0</v>
      </c>
      <c r="E26" s="100" t="e">
        <f>#REF!</f>
        <v>#REF!</v>
      </c>
      <c r="F26" s="238" t="e">
        <f>#REF!</f>
        <v>#REF!</v>
      </c>
      <c r="G26" s="100" t="e">
        <f>#REF!</f>
        <v>#REF!</v>
      </c>
      <c r="H26" s="84" t="e">
        <f>H25/H18</f>
        <v>#REF!</v>
      </c>
      <c r="I26" s="84" t="e">
        <f t="shared" ref="I26:Q26" si="13">I25/I18</f>
        <v>#REF!</v>
      </c>
      <c r="J26" s="84" t="e">
        <f t="shared" si="13"/>
        <v>#REF!</v>
      </c>
      <c r="K26" s="84" t="e">
        <f t="shared" si="13"/>
        <v>#REF!</v>
      </c>
      <c r="L26" s="84" t="e">
        <f t="shared" si="13"/>
        <v>#REF!</v>
      </c>
      <c r="M26" s="84" t="e">
        <f t="shared" si="13"/>
        <v>#REF!</v>
      </c>
      <c r="N26" s="84" t="e">
        <f t="shared" si="13"/>
        <v>#REF!</v>
      </c>
      <c r="O26" s="84" t="e">
        <f t="shared" si="13"/>
        <v>#REF!</v>
      </c>
      <c r="P26" s="84" t="e">
        <f t="shared" si="13"/>
        <v>#REF!</v>
      </c>
      <c r="Q26" s="84" t="e">
        <f t="shared" si="13"/>
        <v>#REF!</v>
      </c>
    </row>
    <row r="27" spans="2:19" ht="32.25" thickBot="1" x14ac:dyDescent="0.3">
      <c r="B27" s="10">
        <v>6</v>
      </c>
      <c r="C27" s="96" t="s">
        <v>492</v>
      </c>
      <c r="D27" s="250" t="s">
        <v>1</v>
      </c>
      <c r="E27" s="234" t="e">
        <f>E28*E18*1000</f>
        <v>#REF!</v>
      </c>
      <c r="F27" s="240" t="e">
        <f>F28*F18*1000</f>
        <v>#REF!</v>
      </c>
      <c r="G27" s="12" t="e">
        <f>G28*G18*1000</f>
        <v>#REF!</v>
      </c>
      <c r="H27" s="84" t="e">
        <f>$E$27-H209</f>
        <v>#REF!</v>
      </c>
      <c r="I27" s="84" t="e">
        <f t="shared" ref="I27:Q27" si="14">$E$27-I209</f>
        <v>#REF!</v>
      </c>
      <c r="J27" s="84" t="e">
        <f t="shared" si="14"/>
        <v>#REF!</v>
      </c>
      <c r="K27" s="84" t="e">
        <f t="shared" si="14"/>
        <v>#REF!</v>
      </c>
      <c r="L27" s="84" t="e">
        <f t="shared" si="14"/>
        <v>#REF!</v>
      </c>
      <c r="M27" s="84" t="e">
        <f t="shared" si="14"/>
        <v>#REF!</v>
      </c>
      <c r="N27" s="84" t="e">
        <f t="shared" si="14"/>
        <v>#REF!</v>
      </c>
      <c r="O27" s="84" t="e">
        <f t="shared" si="14"/>
        <v>#REF!</v>
      </c>
      <c r="P27" s="84" t="e">
        <f t="shared" si="14"/>
        <v>#REF!</v>
      </c>
      <c r="Q27" s="84" t="e">
        <f t="shared" si="14"/>
        <v>#REF!</v>
      </c>
    </row>
    <row r="28" spans="2:19" ht="16.5" thickBot="1" x14ac:dyDescent="0.3">
      <c r="B28" s="10"/>
      <c r="C28" s="96" t="s">
        <v>409</v>
      </c>
      <c r="D28" s="250" t="s">
        <v>2</v>
      </c>
      <c r="E28" s="235" t="e">
        <f>#REF!</f>
        <v>#REF!</v>
      </c>
      <c r="F28" s="241" t="e">
        <f>#REF!</f>
        <v>#REF!</v>
      </c>
      <c r="G28" s="101" t="e">
        <f>#REF!</f>
        <v>#REF!</v>
      </c>
      <c r="H28" s="84" t="e">
        <f>H27/H18/1000</f>
        <v>#REF!</v>
      </c>
      <c r="I28" s="84" t="e">
        <f t="shared" ref="I28:Q28" si="15">I27/I18/1000</f>
        <v>#REF!</v>
      </c>
      <c r="J28" s="84" t="e">
        <f t="shared" si="15"/>
        <v>#REF!</v>
      </c>
      <c r="K28" s="84" t="e">
        <f t="shared" si="15"/>
        <v>#REF!</v>
      </c>
      <c r="L28" s="84" t="e">
        <f t="shared" si="15"/>
        <v>#REF!</v>
      </c>
      <c r="M28" s="84" t="e">
        <f t="shared" si="15"/>
        <v>#REF!</v>
      </c>
      <c r="N28" s="84" t="e">
        <f t="shared" si="15"/>
        <v>#REF!</v>
      </c>
      <c r="O28" s="84" t="e">
        <f t="shared" si="15"/>
        <v>#REF!</v>
      </c>
      <c r="P28" s="84" t="e">
        <f t="shared" si="15"/>
        <v>#REF!</v>
      </c>
      <c r="Q28" s="84" t="e">
        <f t="shared" si="15"/>
        <v>#REF!</v>
      </c>
    </row>
    <row r="29" spans="2:19" ht="126.75" thickBot="1" x14ac:dyDescent="0.3">
      <c r="B29" s="10">
        <v>7</v>
      </c>
      <c r="C29" s="96" t="s">
        <v>494</v>
      </c>
      <c r="D29" s="250" t="s">
        <v>3</v>
      </c>
      <c r="E29" s="236" t="e">
        <f>#REF!</f>
        <v>#REF!</v>
      </c>
      <c r="F29" s="242" t="e">
        <f>#REF!</f>
        <v>#REF!</v>
      </c>
      <c r="G29" s="12" t="e">
        <f>#REF!</f>
        <v>#REF!</v>
      </c>
      <c r="H29" s="3"/>
      <c r="I29" s="3"/>
      <c r="J29" s="3"/>
      <c r="K29" s="3"/>
      <c r="L29" s="3"/>
      <c r="M29" s="84" t="e">
        <f>M21</f>
        <v>#REF!</v>
      </c>
      <c r="N29" s="84" t="e">
        <f>N21</f>
        <v>#REF!</v>
      </c>
      <c r="O29" s="84" t="e">
        <f>O21</f>
        <v>#REF!</v>
      </c>
      <c r="P29" s="84" t="e">
        <f>P21</f>
        <v>#REF!</v>
      </c>
      <c r="Q29" s="84" t="e">
        <f>Q21</f>
        <v>#REF!</v>
      </c>
    </row>
    <row r="30" spans="2:19" ht="126.75" thickBot="1" x14ac:dyDescent="0.3">
      <c r="B30" s="10">
        <v>8</v>
      </c>
      <c r="C30" s="96" t="s">
        <v>496</v>
      </c>
      <c r="D30" s="11" t="s">
        <v>497</v>
      </c>
      <c r="E30" s="12" t="e">
        <f>#REF!</f>
        <v>#REF!</v>
      </c>
      <c r="F30" s="12" t="e">
        <f>#REF!</f>
        <v>#REF!</v>
      </c>
      <c r="G30" s="12" t="e">
        <f>#REF!</f>
        <v>#REF!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9" ht="126.75" thickBot="1" x14ac:dyDescent="0.3">
      <c r="B31" s="10">
        <v>9</v>
      </c>
      <c r="C31" s="96" t="s">
        <v>498</v>
      </c>
      <c r="D31" s="11" t="s">
        <v>491</v>
      </c>
      <c r="E31" s="12" t="e">
        <f>#REF!</f>
        <v>#REF!</v>
      </c>
      <c r="F31" s="12" t="e">
        <f>#REF!</f>
        <v>#REF!</v>
      </c>
      <c r="G31" s="12" t="e">
        <f>#REF!</f>
        <v>#REF!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2:19" ht="126.75" thickBot="1" x14ac:dyDescent="0.3">
      <c r="B32" s="10">
        <v>10</v>
      </c>
      <c r="C32" s="96" t="s">
        <v>499</v>
      </c>
      <c r="D32" s="11" t="s">
        <v>491</v>
      </c>
      <c r="E32" s="12" t="e">
        <f>#REF!</f>
        <v>#REF!</v>
      </c>
      <c r="F32" s="12" t="e">
        <f>#REF!</f>
        <v>#REF!</v>
      </c>
      <c r="G32" s="12" t="e">
        <f>#REF!</f>
        <v>#REF!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2:17" ht="16.5" thickBot="1" x14ac:dyDescent="0.3">
      <c r="B33" s="10">
        <v>11</v>
      </c>
      <c r="C33" s="96" t="s">
        <v>500</v>
      </c>
      <c r="D33" s="11" t="s">
        <v>501</v>
      </c>
      <c r="E33" s="12" t="e">
        <f>#REF!</f>
        <v>#REF!</v>
      </c>
      <c r="F33" s="12" t="e">
        <f>#REF!</f>
        <v>#REF!</v>
      </c>
      <c r="G33" s="12" t="e">
        <f>#REF!</f>
        <v>#REF!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ht="16.5" thickBot="1" x14ac:dyDescent="0.3">
      <c r="B34" s="10">
        <v>12</v>
      </c>
      <c r="C34" s="96" t="s">
        <v>502</v>
      </c>
      <c r="D34" s="11" t="s">
        <v>503</v>
      </c>
      <c r="E34" s="12" t="e">
        <f>#REF!</f>
        <v>#REF!</v>
      </c>
      <c r="F34" s="12" t="e">
        <f>#REF!</f>
        <v>#REF!</v>
      </c>
      <c r="G34" s="12" t="e">
        <f>#REF!</f>
        <v>#REF!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ht="16.5" thickBot="1" x14ac:dyDescent="0.3">
      <c r="B35" s="10">
        <v>13</v>
      </c>
      <c r="C35" s="96" t="s">
        <v>504</v>
      </c>
      <c r="D35" s="250" t="s">
        <v>103</v>
      </c>
      <c r="E35" s="12" t="e">
        <f>#REF!</f>
        <v>#REF!</v>
      </c>
      <c r="F35" s="12" t="e">
        <f>#REF!</f>
        <v>#REF!</v>
      </c>
      <c r="G35" s="12" t="e">
        <f>#REF!</f>
        <v>#REF!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ht="32.25" thickBot="1" x14ac:dyDescent="0.3">
      <c r="B36" s="10">
        <v>14</v>
      </c>
      <c r="C36" s="96" t="s">
        <v>506</v>
      </c>
      <c r="D36" s="250" t="s">
        <v>106</v>
      </c>
      <c r="E36" s="12" t="e">
        <f>#REF!</f>
        <v>#REF!</v>
      </c>
      <c r="F36" s="12" t="e">
        <f>#REF!</f>
        <v>#REF!</v>
      </c>
      <c r="G36" s="12" t="e">
        <f>#REF!</f>
        <v>#REF!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ht="95.25" thickBot="1" x14ac:dyDescent="0.3">
      <c r="B37" s="10">
        <v>15</v>
      </c>
      <c r="C37" s="96" t="s">
        <v>508</v>
      </c>
      <c r="D37" s="11" t="s">
        <v>509</v>
      </c>
      <c r="E37" s="12" t="e">
        <f>#REF!</f>
        <v>#REF!</v>
      </c>
      <c r="F37" s="12" t="e">
        <f>#REF!</f>
        <v>#REF!</v>
      </c>
      <c r="G37" s="12" t="e">
        <f>#REF!</f>
        <v>#REF!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48" thickBot="1" x14ac:dyDescent="0.3">
      <c r="B38" s="10">
        <v>16</v>
      </c>
      <c r="C38" s="96" t="s">
        <v>510</v>
      </c>
      <c r="D38" s="11" t="s">
        <v>509</v>
      </c>
      <c r="E38" s="12" t="e">
        <f>#REF!</f>
        <v>#REF!</v>
      </c>
      <c r="F38" s="12" t="e">
        <f>#REF!</f>
        <v>#REF!</v>
      </c>
      <c r="G38" s="12" t="e">
        <f>#REF!</f>
        <v>#REF!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 ht="95.25" thickBot="1" x14ac:dyDescent="0.3">
      <c r="B39" s="10">
        <v>17</v>
      </c>
      <c r="C39" s="96" t="s">
        <v>511</v>
      </c>
      <c r="D39" s="11" t="s">
        <v>483</v>
      </c>
      <c r="E39" s="12" t="e">
        <f>#REF!</f>
        <v>#REF!</v>
      </c>
      <c r="F39" s="12" t="e">
        <f>#REF!</f>
        <v>#REF!</v>
      </c>
      <c r="G39" s="12" t="e">
        <f>#REF!</f>
        <v>#REF!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111" thickBot="1" x14ac:dyDescent="0.3">
      <c r="B40" s="10">
        <v>18</v>
      </c>
      <c r="C40" s="96" t="s">
        <v>512</v>
      </c>
      <c r="D40" s="11" t="s">
        <v>483</v>
      </c>
      <c r="E40" s="12" t="e">
        <f>#REF!</f>
        <v>#REF!</v>
      </c>
      <c r="F40" s="12" t="e">
        <f>#REF!</f>
        <v>#REF!</v>
      </c>
      <c r="G40" s="12" t="e">
        <f>#REF!</f>
        <v>#REF!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ht="16.5" thickBot="1" x14ac:dyDescent="0.3">
      <c r="B41" s="10"/>
      <c r="C41" s="11" t="s">
        <v>391</v>
      </c>
      <c r="D41" s="251"/>
      <c r="E41" s="12" t="e">
        <f>E42+E44</f>
        <v>#REF!</v>
      </c>
      <c r="F41" s="12" t="e">
        <f>F42+F44</f>
        <v>#REF!</v>
      </c>
      <c r="G41" s="12" t="e">
        <f>G42+G44</f>
        <v>#REF!</v>
      </c>
      <c r="H41" s="3" t="e">
        <f>$G$41-($G$41*0.03)</f>
        <v>#REF!</v>
      </c>
      <c r="I41" s="3" t="e">
        <f>$G$41-($G$41*0.06)-1859</f>
        <v>#REF!</v>
      </c>
      <c r="J41" s="3" t="e">
        <f>$G$41-($G$41*0.09)-2059</f>
        <v>#REF!</v>
      </c>
      <c r="K41" s="3" t="e">
        <f>$G$41-($G$41*0.12)-4359</f>
        <v>#REF!</v>
      </c>
      <c r="L41" s="3" t="e">
        <f>$G$41-($G$41*0.15)-4359</f>
        <v>#REF!</v>
      </c>
      <c r="M41" s="3" t="e">
        <f>$G$41-($G$41*0.16)-4359</f>
        <v>#REF!</v>
      </c>
      <c r="N41" s="3" t="e">
        <f>$G$41-($G$41*0.17)-4359</f>
        <v>#REF!</v>
      </c>
      <c r="O41" s="3" t="e">
        <f>$G$41-($G$41*0.18)-4359</f>
        <v>#REF!</v>
      </c>
      <c r="P41" s="3" t="e">
        <f>$G$41-($G$41*0.19)-4359</f>
        <v>#REF!</v>
      </c>
      <c r="Q41" s="3" t="e">
        <f>$G$41-($G$41*0.2)-4359</f>
        <v>#REF!</v>
      </c>
    </row>
    <row r="42" spans="2:17" ht="63.75" thickBot="1" x14ac:dyDescent="0.3">
      <c r="B42" s="10">
        <v>19</v>
      </c>
      <c r="C42" s="96" t="s">
        <v>516</v>
      </c>
      <c r="D42" s="11" t="s">
        <v>517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</row>
    <row r="43" spans="2:17" ht="63.75" thickBot="1" x14ac:dyDescent="0.3">
      <c r="B43" s="10">
        <v>20</v>
      </c>
      <c r="C43" s="96" t="s">
        <v>518</v>
      </c>
      <c r="D43" s="11" t="s">
        <v>519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</row>
    <row r="44" spans="2:17" ht="69" customHeight="1" thickBot="1" x14ac:dyDescent="0.3">
      <c r="B44" s="10">
        <v>21</v>
      </c>
      <c r="C44" s="96" t="s">
        <v>520</v>
      </c>
      <c r="D44" s="11" t="s">
        <v>517</v>
      </c>
      <c r="E44" s="14" t="e">
        <f>#REF!</f>
        <v>#REF!</v>
      </c>
      <c r="F44" s="14" t="e">
        <f>#REF!</f>
        <v>#REF!</v>
      </c>
      <c r="G44" s="14" t="e">
        <f>#REF!</f>
        <v>#REF!</v>
      </c>
      <c r="H44" s="14" t="e">
        <f>#REF!</f>
        <v>#REF!</v>
      </c>
      <c r="I44" s="14" t="e">
        <f>#REF!</f>
        <v>#REF!</v>
      </c>
      <c r="J44" s="14" t="e">
        <f>#REF!</f>
        <v>#REF!</v>
      </c>
      <c r="K44" s="14" t="e">
        <f>#REF!</f>
        <v>#REF!</v>
      </c>
      <c r="L44" s="14" t="e">
        <f>#REF!</f>
        <v>#REF!</v>
      </c>
      <c r="M44" s="14" t="e">
        <f>#REF!</f>
        <v>#REF!</v>
      </c>
      <c r="N44" s="14" t="e">
        <f>#REF!</f>
        <v>#REF!</v>
      </c>
      <c r="O44" s="14" t="e">
        <f>#REF!</f>
        <v>#REF!</v>
      </c>
      <c r="P44" s="14" t="e">
        <f>#REF!</f>
        <v>#REF!</v>
      </c>
      <c r="Q44" s="14" t="e">
        <f>#REF!</f>
        <v>#REF!</v>
      </c>
    </row>
    <row r="45" spans="2:17" ht="75.75" customHeight="1" thickBot="1" x14ac:dyDescent="0.3">
      <c r="B45" s="10">
        <v>22</v>
      </c>
      <c r="C45" s="96" t="s">
        <v>521</v>
      </c>
      <c r="D45" s="15" t="s">
        <v>519</v>
      </c>
      <c r="E45" s="99" t="e">
        <f>#REF!</f>
        <v>#REF!</v>
      </c>
      <c r="F45" s="99" t="e">
        <f>#REF!</f>
        <v>#REF!</v>
      </c>
      <c r="G45" s="99" t="e">
        <f>#REF!</f>
        <v>#REF!</v>
      </c>
      <c r="H45" s="99" t="e">
        <f>#REF!</f>
        <v>#REF!</v>
      </c>
      <c r="I45" s="99" t="e">
        <f>#REF!</f>
        <v>#REF!</v>
      </c>
      <c r="J45" s="99" t="e">
        <f>#REF!</f>
        <v>#REF!</v>
      </c>
      <c r="K45" s="99" t="e">
        <f>#REF!</f>
        <v>#REF!</v>
      </c>
      <c r="L45" s="99" t="e">
        <f>#REF!</f>
        <v>#REF!</v>
      </c>
      <c r="M45" s="99" t="e">
        <f>#REF!</f>
        <v>#REF!</v>
      </c>
      <c r="N45" s="99" t="e">
        <f>#REF!</f>
        <v>#REF!</v>
      </c>
      <c r="O45" s="99" t="e">
        <f>#REF!</f>
        <v>#REF!</v>
      </c>
      <c r="P45" s="99" t="e">
        <f>#REF!</f>
        <v>#REF!</v>
      </c>
      <c r="Q45" s="99" t="e">
        <f>#REF!</f>
        <v>#REF!</v>
      </c>
    </row>
    <row r="46" spans="2:17" ht="57.75" customHeight="1" thickBot="1" x14ac:dyDescent="0.3">
      <c r="B46" s="10"/>
      <c r="C46" s="11" t="s">
        <v>392</v>
      </c>
      <c r="D46" s="15" t="s">
        <v>523</v>
      </c>
      <c r="E46" s="98" t="e">
        <f>E47+E49</f>
        <v>#REF!</v>
      </c>
      <c r="F46" s="98" t="e">
        <f>F47+F49</f>
        <v>#REF!</v>
      </c>
      <c r="G46" s="98" t="e">
        <f>G47+G49</f>
        <v>#REF!</v>
      </c>
      <c r="H46" s="3" t="e">
        <f>$G$46-($G$46*0.03)</f>
        <v>#REF!</v>
      </c>
      <c r="I46" s="3" t="e">
        <f>$G$46-($G$46*0.06)-25200</f>
        <v>#REF!</v>
      </c>
      <c r="J46" s="3" t="e">
        <f>$G$46-($G$46*0.09)-27200</f>
        <v>#REF!</v>
      </c>
      <c r="K46" s="3" t="e">
        <f>$G$46-($G$46*0.12)-45200</f>
        <v>#REF!</v>
      </c>
      <c r="L46" s="3" t="e">
        <f>$G$46-($G$46*0.15)-45200</f>
        <v>#REF!</v>
      </c>
      <c r="M46" s="3" t="e">
        <f>$G$46-($G$46*0.16)-45200</f>
        <v>#REF!</v>
      </c>
      <c r="N46" s="3" t="e">
        <f>$G$46-($G$46*0.17)-45200</f>
        <v>#REF!</v>
      </c>
      <c r="O46" s="3" t="e">
        <f>$G$46-($G$46*0.18)-45200</f>
        <v>#REF!</v>
      </c>
      <c r="P46" s="3" t="e">
        <f>$G$46-($G$46*0.19)-45200</f>
        <v>#REF!</v>
      </c>
      <c r="Q46" s="3" t="e">
        <f>$G$46-($G$46*0.2)-45200</f>
        <v>#REF!</v>
      </c>
    </row>
    <row r="47" spans="2:17" ht="62.25" customHeight="1" thickBot="1" x14ac:dyDescent="0.3">
      <c r="B47" s="10">
        <v>23</v>
      </c>
      <c r="C47" s="96" t="s">
        <v>522</v>
      </c>
      <c r="D47" s="15" t="s">
        <v>523</v>
      </c>
      <c r="E47" s="16" t="e">
        <f>#REF!</f>
        <v>#REF!</v>
      </c>
      <c r="F47" s="16" t="e">
        <f>#REF!</f>
        <v>#REF!</v>
      </c>
      <c r="G47" s="16" t="e">
        <f>#REF!</f>
        <v>#REF!</v>
      </c>
      <c r="H47" s="16" t="e">
        <f>#REF!</f>
        <v>#REF!</v>
      </c>
      <c r="I47" s="16" t="e">
        <f>#REF!</f>
        <v>#REF!</v>
      </c>
      <c r="J47" s="16" t="e">
        <f>#REF!</f>
        <v>#REF!</v>
      </c>
      <c r="K47" s="16" t="e">
        <f>#REF!</f>
        <v>#REF!</v>
      </c>
      <c r="L47" s="16" t="e">
        <f>#REF!</f>
        <v>#REF!</v>
      </c>
      <c r="M47" s="16" t="e">
        <f>#REF!</f>
        <v>#REF!</v>
      </c>
      <c r="N47" s="16" t="e">
        <f>#REF!</f>
        <v>#REF!</v>
      </c>
      <c r="O47" s="16" t="e">
        <f>#REF!</f>
        <v>#REF!</v>
      </c>
      <c r="P47" s="16" t="e">
        <f>#REF!</f>
        <v>#REF!</v>
      </c>
      <c r="Q47" s="16" t="e">
        <f>#REF!</f>
        <v>#REF!</v>
      </c>
    </row>
    <row r="48" spans="2:17" ht="73.5" customHeight="1" thickBot="1" x14ac:dyDescent="0.3">
      <c r="B48" s="10">
        <v>24</v>
      </c>
      <c r="C48" s="96" t="s">
        <v>524</v>
      </c>
      <c r="D48" s="15" t="s">
        <v>525</v>
      </c>
      <c r="E48" s="16" t="e">
        <f>#REF!</f>
        <v>#REF!</v>
      </c>
      <c r="F48" s="16" t="e">
        <f>#REF!</f>
        <v>#REF!</v>
      </c>
      <c r="G48" s="16" t="e">
        <f>#REF!</f>
        <v>#REF!</v>
      </c>
      <c r="H48" s="16" t="e">
        <f>#REF!</f>
        <v>#REF!</v>
      </c>
      <c r="I48" s="16" t="e">
        <f>#REF!</f>
        <v>#REF!</v>
      </c>
      <c r="J48" s="16" t="e">
        <f>#REF!</f>
        <v>#REF!</v>
      </c>
      <c r="K48" s="16" t="e">
        <f>#REF!</f>
        <v>#REF!</v>
      </c>
      <c r="L48" s="16" t="e">
        <f>#REF!</f>
        <v>#REF!</v>
      </c>
      <c r="M48" s="16" t="e">
        <f>#REF!</f>
        <v>#REF!</v>
      </c>
      <c r="N48" s="16" t="e">
        <f>#REF!</f>
        <v>#REF!</v>
      </c>
      <c r="O48" s="16" t="e">
        <f>#REF!</f>
        <v>#REF!</v>
      </c>
      <c r="P48" s="16" t="e">
        <f>#REF!</f>
        <v>#REF!</v>
      </c>
      <c r="Q48" s="16" t="e">
        <f>#REF!</f>
        <v>#REF!</v>
      </c>
    </row>
    <row r="49" spans="2:17" ht="73.5" customHeight="1" thickBot="1" x14ac:dyDescent="0.3">
      <c r="B49" s="10">
        <v>25</v>
      </c>
      <c r="C49" s="96" t="s">
        <v>526</v>
      </c>
      <c r="D49" s="15" t="s">
        <v>523</v>
      </c>
      <c r="E49" s="16" t="e">
        <f>#REF!</f>
        <v>#REF!</v>
      </c>
      <c r="F49" s="16" t="e">
        <f>#REF!</f>
        <v>#REF!</v>
      </c>
      <c r="G49" s="16" t="e">
        <f>#REF!</f>
        <v>#REF!</v>
      </c>
      <c r="H49" s="3">
        <v>0</v>
      </c>
      <c r="I49" s="3">
        <f>H49-(H49*0.03)</f>
        <v>0</v>
      </c>
      <c r="J49" s="3"/>
      <c r="K49" s="3"/>
      <c r="L49" s="3"/>
      <c r="M49" s="3"/>
      <c r="N49" s="3"/>
      <c r="O49" s="3"/>
      <c r="P49" s="3"/>
      <c r="Q49" s="3"/>
    </row>
    <row r="50" spans="2:17" ht="66.75" customHeight="1" thickBot="1" x14ac:dyDescent="0.3">
      <c r="B50" s="10">
        <v>26</v>
      </c>
      <c r="C50" s="96" t="s">
        <v>527</v>
      </c>
      <c r="D50" s="11" t="s">
        <v>525</v>
      </c>
      <c r="E50" s="16" t="e">
        <f>#REF!</f>
        <v>#REF!</v>
      </c>
      <c r="F50" s="16" t="e">
        <f>#REF!</f>
        <v>#REF!</v>
      </c>
      <c r="G50" s="16" t="e">
        <f>#REF!</f>
        <v>#REF!</v>
      </c>
      <c r="H50" s="16" t="e">
        <f>#REF!</f>
        <v>#REF!</v>
      </c>
      <c r="I50" s="16" t="e">
        <f>#REF!</f>
        <v>#REF!</v>
      </c>
      <c r="J50" s="16" t="e">
        <f>#REF!</f>
        <v>#REF!</v>
      </c>
      <c r="K50" s="16" t="e">
        <f>#REF!</f>
        <v>#REF!</v>
      </c>
      <c r="L50" s="16" t="e">
        <f>#REF!</f>
        <v>#REF!</v>
      </c>
      <c r="M50" s="16" t="e">
        <f>#REF!</f>
        <v>#REF!</v>
      </c>
      <c r="N50" s="16" t="e">
        <f>#REF!</f>
        <v>#REF!</v>
      </c>
      <c r="O50" s="16" t="e">
        <f>#REF!</f>
        <v>#REF!</v>
      </c>
      <c r="P50" s="16" t="e">
        <f>#REF!</f>
        <v>#REF!</v>
      </c>
      <c r="Q50" s="16" t="e">
        <f>#REF!</f>
        <v>#REF!</v>
      </c>
    </row>
    <row r="51" spans="2:17" ht="66.75" customHeight="1" thickBot="1" x14ac:dyDescent="0.3">
      <c r="B51" s="10"/>
      <c r="C51" s="11" t="s">
        <v>393</v>
      </c>
      <c r="D51" s="11"/>
      <c r="E51" s="13" t="e">
        <f>E52+E54</f>
        <v>#REF!</v>
      </c>
      <c r="F51" s="13" t="e">
        <f>F52+F54</f>
        <v>#REF!</v>
      </c>
      <c r="G51" s="94" t="e">
        <f>G52+G54</f>
        <v>#REF!</v>
      </c>
      <c r="H51" s="3" t="e">
        <f>$G$51-($G$51*0.03)</f>
        <v>#REF!</v>
      </c>
      <c r="I51" s="3" t="e">
        <f>$G$51-($G$51*0.06)-962500</f>
        <v>#REF!</v>
      </c>
      <c r="J51" s="3" t="e">
        <f>$G$51-($G$51*0.09)-962500</f>
        <v>#REF!</v>
      </c>
      <c r="K51" s="3" t="e">
        <f>$G$51-($G$51*0.12)-962500</f>
        <v>#REF!</v>
      </c>
      <c r="L51" s="3" t="e">
        <f>$G$51-($G$51*0.15)-962500</f>
        <v>#REF!</v>
      </c>
      <c r="M51" s="3" t="e">
        <f>$G$51-($G$51*0.16)-962500</f>
        <v>#REF!</v>
      </c>
      <c r="N51" s="3" t="e">
        <f>$G$51-($G$51*0.17)-962500</f>
        <v>#REF!</v>
      </c>
      <c r="O51" s="3" t="e">
        <f>$G$51-($G$51*0.18)-962500</f>
        <v>#REF!</v>
      </c>
      <c r="P51" s="3" t="e">
        <f>$G$51-($G$51*0.19)-962500</f>
        <v>#REF!</v>
      </c>
      <c r="Q51" s="3" t="e">
        <f>$G$51-($G$51*0.2)-962500</f>
        <v>#REF!</v>
      </c>
    </row>
    <row r="52" spans="2:17" ht="79.5" thickBot="1" x14ac:dyDescent="0.3">
      <c r="B52" s="10">
        <v>27</v>
      </c>
      <c r="C52" s="96" t="s">
        <v>528</v>
      </c>
      <c r="D52" s="26" t="s">
        <v>529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</row>
    <row r="53" spans="2:17" ht="95.25" thickBot="1" x14ac:dyDescent="0.3">
      <c r="B53" s="18">
        <v>28</v>
      </c>
      <c r="C53" s="96" t="s">
        <v>530</v>
      </c>
      <c r="D53" s="11" t="s">
        <v>525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</row>
    <row r="54" spans="2:17" ht="79.5" thickBot="1" x14ac:dyDescent="0.3">
      <c r="B54" s="10">
        <v>29</v>
      </c>
      <c r="C54" s="96" t="s">
        <v>531</v>
      </c>
      <c r="D54" s="11" t="s">
        <v>529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</row>
    <row r="55" spans="2:17" ht="95.25" thickBot="1" x14ac:dyDescent="0.3">
      <c r="B55" s="18">
        <v>30</v>
      </c>
      <c r="C55" s="96" t="s">
        <v>532</v>
      </c>
      <c r="D55" s="11" t="s">
        <v>525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</row>
    <row r="56" spans="2:17" ht="36.75" customHeight="1" thickBot="1" x14ac:dyDescent="0.3">
      <c r="B56" s="10">
        <v>31</v>
      </c>
      <c r="C56" s="96" t="s">
        <v>533</v>
      </c>
      <c r="D56" s="11" t="s">
        <v>491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3" t="e">
        <f>$G$56-($G$56*0.03)</f>
        <v>#REF!</v>
      </c>
      <c r="I56" s="3" t="e">
        <f>$G$56-($G$56*0.06)</f>
        <v>#REF!</v>
      </c>
      <c r="J56" s="3" t="e">
        <f>$G$56-($G$56*0.09)</f>
        <v>#REF!</v>
      </c>
      <c r="K56" s="3" t="e">
        <f>$G$56-($G$56*0.12)</f>
        <v>#REF!</v>
      </c>
      <c r="L56" s="3" t="e">
        <f>$G$56-($G$56*0.15)</f>
        <v>#REF!</v>
      </c>
      <c r="M56" s="3" t="e">
        <f>$G$56-($G$56*0.16)</f>
        <v>#REF!</v>
      </c>
      <c r="N56" s="3" t="e">
        <f>$G$56-($G$56*0.17)</f>
        <v>#REF!</v>
      </c>
      <c r="O56" s="3" t="e">
        <f>$G$56-($G$56*0.18)</f>
        <v>#REF!</v>
      </c>
      <c r="P56" s="3" t="e">
        <f>$G$56-($G$56*0.19)</f>
        <v>#REF!</v>
      </c>
      <c r="Q56" s="3" t="e">
        <f>$G$56-($G$56*0.2)</f>
        <v>#REF!</v>
      </c>
    </row>
    <row r="57" spans="2:17" ht="95.25" thickBot="1" x14ac:dyDescent="0.3">
      <c r="B57" s="10">
        <v>32</v>
      </c>
      <c r="C57" s="96" t="s">
        <v>534</v>
      </c>
      <c r="D57" s="11" t="s">
        <v>491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</row>
    <row r="58" spans="2:17" ht="16.5" thickBot="1" x14ac:dyDescent="0.3">
      <c r="B58" s="10">
        <v>33</v>
      </c>
      <c r="C58" s="96" t="s">
        <v>535</v>
      </c>
      <c r="D58" s="11" t="s">
        <v>536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</row>
    <row r="59" spans="2:17" ht="63.75" thickBot="1" x14ac:dyDescent="0.3">
      <c r="B59" s="10">
        <v>34</v>
      </c>
      <c r="C59" s="96" t="s">
        <v>537</v>
      </c>
      <c r="D59" s="11" t="s">
        <v>536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17" ht="79.5" thickBot="1" x14ac:dyDescent="0.3">
      <c r="B60" s="10">
        <v>35</v>
      </c>
      <c r="C60" s="96" t="s">
        <v>538</v>
      </c>
      <c r="D60" s="11" t="s">
        <v>536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2:17" ht="16.5" thickBot="1" x14ac:dyDescent="0.3">
      <c r="B61" s="10">
        <v>36</v>
      </c>
      <c r="C61" s="96" t="s">
        <v>539</v>
      </c>
      <c r="D61" s="11" t="s">
        <v>540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 ht="95.25" thickBot="1" x14ac:dyDescent="0.3">
      <c r="B62" s="10">
        <v>37</v>
      </c>
      <c r="C62" s="96" t="s">
        <v>541</v>
      </c>
      <c r="D62" s="11" t="s">
        <v>540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3">
        <v>0</v>
      </c>
      <c r="I62" s="3"/>
      <c r="J62" s="3"/>
      <c r="K62" s="3"/>
      <c r="L62" s="3"/>
      <c r="M62" s="3"/>
      <c r="N62" s="3"/>
      <c r="O62" s="3"/>
      <c r="P62" s="3"/>
      <c r="Q62" s="3"/>
    </row>
    <row r="63" spans="2:17" ht="69" customHeight="1" thickBot="1" x14ac:dyDescent="0.3">
      <c r="B63" s="10">
        <v>38</v>
      </c>
      <c r="C63" s="96" t="s">
        <v>542</v>
      </c>
      <c r="D63" s="11" t="s">
        <v>540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ht="32.25" thickBot="1" x14ac:dyDescent="0.3">
      <c r="B64" s="10">
        <v>39</v>
      </c>
      <c r="C64" s="96" t="s">
        <v>543</v>
      </c>
      <c r="D64" s="11" t="s">
        <v>540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</row>
    <row r="65" spans="2:18" ht="63.75" thickBot="1" x14ac:dyDescent="0.3">
      <c r="B65" s="10">
        <v>40</v>
      </c>
      <c r="C65" s="96" t="s">
        <v>544</v>
      </c>
      <c r="D65" s="11" t="s">
        <v>540</v>
      </c>
      <c r="E65" s="13" t="e">
        <f>#REF!</f>
        <v>#REF!</v>
      </c>
      <c r="F65" s="13" t="e">
        <f>#REF!</f>
        <v>#REF!</v>
      </c>
      <c r="G65" s="13" t="e">
        <f>#REF!</f>
        <v>#REF!</v>
      </c>
      <c r="H65" s="13" t="e">
        <f>#REF!</f>
        <v>#REF!</v>
      </c>
      <c r="I65" s="13" t="e">
        <f>#REF!</f>
        <v>#REF!</v>
      </c>
      <c r="J65" s="13" t="e">
        <f>#REF!</f>
        <v>#REF!</v>
      </c>
      <c r="K65" s="13" t="e">
        <f>#REF!</f>
        <v>#REF!</v>
      </c>
      <c r="L65" s="13" t="e">
        <f>#REF!</f>
        <v>#REF!</v>
      </c>
      <c r="M65" s="13" t="e">
        <f>#REF!</f>
        <v>#REF!</v>
      </c>
      <c r="N65" s="13" t="e">
        <f>#REF!</f>
        <v>#REF!</v>
      </c>
      <c r="O65" s="13" t="e">
        <f>#REF!</f>
        <v>#REF!</v>
      </c>
      <c r="P65" s="13" t="e">
        <f>#REF!</f>
        <v>#REF!</v>
      </c>
      <c r="Q65" s="13" t="e">
        <f>#REF!</f>
        <v>#REF!</v>
      </c>
    </row>
    <row r="66" spans="2:18" ht="48" thickBot="1" x14ac:dyDescent="0.3">
      <c r="B66" s="10">
        <v>41</v>
      </c>
      <c r="C66" s="96" t="s">
        <v>545</v>
      </c>
      <c r="D66" s="11" t="s">
        <v>536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</row>
    <row r="67" spans="2:18" ht="111" thickBot="1" x14ac:dyDescent="0.3">
      <c r="B67" s="10">
        <v>42</v>
      </c>
      <c r="C67" s="96" t="s">
        <v>546</v>
      </c>
      <c r="D67" s="11" t="s">
        <v>536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</row>
    <row r="68" spans="2:18" ht="79.5" thickBot="1" x14ac:dyDescent="0.3">
      <c r="B68" s="10">
        <v>43</v>
      </c>
      <c r="C68" s="96" t="s">
        <v>547</v>
      </c>
      <c r="D68" s="11" t="s">
        <v>536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</row>
    <row r="69" spans="2:18" ht="79.5" thickBot="1" x14ac:dyDescent="0.3">
      <c r="B69" s="10">
        <v>44</v>
      </c>
      <c r="C69" s="96" t="s">
        <v>548</v>
      </c>
      <c r="D69" s="11" t="s">
        <v>540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4" t="e">
        <f>#REF!</f>
        <v>#REF!</v>
      </c>
      <c r="I69" s="14" t="e">
        <f>#REF!</f>
        <v>#REF!</v>
      </c>
      <c r="J69" s="14" t="e">
        <f>#REF!</f>
        <v>#REF!</v>
      </c>
      <c r="K69" s="14" t="e">
        <f>#REF!</f>
        <v>#REF!</v>
      </c>
      <c r="L69" s="14" t="e">
        <f>#REF!</f>
        <v>#REF!</v>
      </c>
      <c r="M69" s="14" t="e">
        <f>#REF!</f>
        <v>#REF!</v>
      </c>
      <c r="N69" s="14" t="e">
        <f>#REF!</f>
        <v>#REF!</v>
      </c>
      <c r="O69" s="14" t="e">
        <f>#REF!</f>
        <v>#REF!</v>
      </c>
      <c r="P69" s="14" t="e">
        <f>#REF!</f>
        <v>#REF!</v>
      </c>
      <c r="Q69" s="14" t="e">
        <f>#REF!</f>
        <v>#REF!</v>
      </c>
    </row>
    <row r="70" spans="2:18" ht="63.75" thickBot="1" x14ac:dyDescent="0.3">
      <c r="B70" s="10">
        <v>45</v>
      </c>
      <c r="C70" s="96" t="s">
        <v>549</v>
      </c>
      <c r="D70" s="11" t="s">
        <v>529</v>
      </c>
      <c r="E70" s="13" t="e">
        <f>#REF!</f>
        <v>#REF!</v>
      </c>
      <c r="F70" s="13" t="e">
        <f>#REF!</f>
        <v>#REF!</v>
      </c>
      <c r="G70" s="17" t="e">
        <f>#REF!</f>
        <v>#REF!</v>
      </c>
      <c r="H70" s="99" t="e">
        <f>G70*0.999</f>
        <v>#REF!</v>
      </c>
      <c r="I70" s="99" t="e">
        <f>H70*0.95*1.0024</f>
        <v>#REF!</v>
      </c>
      <c r="J70" s="99" t="e">
        <f>I70*0.98*1.0024</f>
        <v>#REF!</v>
      </c>
      <c r="K70" s="99" t="e">
        <f t="shared" ref="K70:Q70" si="16">J70*0.987*1.0024</f>
        <v>#REF!</v>
      </c>
      <c r="L70" s="99" t="e">
        <f t="shared" si="16"/>
        <v>#REF!</v>
      </c>
      <c r="M70" s="99" t="e">
        <f t="shared" si="16"/>
        <v>#REF!</v>
      </c>
      <c r="N70" s="99" t="e">
        <f t="shared" si="16"/>
        <v>#REF!</v>
      </c>
      <c r="O70" s="99" t="e">
        <f t="shared" si="16"/>
        <v>#REF!</v>
      </c>
      <c r="P70" s="99" t="e">
        <f t="shared" si="16"/>
        <v>#REF!</v>
      </c>
      <c r="Q70" s="99" t="e">
        <f t="shared" si="16"/>
        <v>#REF!</v>
      </c>
    </row>
    <row r="71" spans="2:18" ht="126.75" thickBot="1" x14ac:dyDescent="0.3">
      <c r="B71" s="10">
        <v>46</v>
      </c>
      <c r="C71" s="96" t="s">
        <v>550</v>
      </c>
      <c r="D71" s="11" t="s">
        <v>529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 t="shared" ref="H71:Q71" si="17">H70</f>
        <v>#REF!</v>
      </c>
      <c r="I71" s="13" t="e">
        <f t="shared" si="17"/>
        <v>#REF!</v>
      </c>
      <c r="J71" s="13" t="e">
        <f t="shared" si="17"/>
        <v>#REF!</v>
      </c>
      <c r="K71" s="13" t="e">
        <f t="shared" si="17"/>
        <v>#REF!</v>
      </c>
      <c r="L71" s="13" t="e">
        <f t="shared" si="17"/>
        <v>#REF!</v>
      </c>
      <c r="M71" s="13" t="e">
        <f t="shared" si="17"/>
        <v>#REF!</v>
      </c>
      <c r="N71" s="13" t="e">
        <f t="shared" si="17"/>
        <v>#REF!</v>
      </c>
      <c r="O71" s="13" t="e">
        <f t="shared" si="17"/>
        <v>#REF!</v>
      </c>
      <c r="P71" s="13" t="e">
        <f t="shared" si="17"/>
        <v>#REF!</v>
      </c>
      <c r="Q71" s="13" t="e">
        <f t="shared" si="17"/>
        <v>#REF!</v>
      </c>
      <c r="R71" t="s">
        <v>75</v>
      </c>
    </row>
    <row r="72" spans="2:18" ht="48" thickBot="1" x14ac:dyDescent="0.3">
      <c r="B72" s="10">
        <v>47</v>
      </c>
      <c r="C72" s="96" t="s">
        <v>551</v>
      </c>
      <c r="D72" s="11" t="s">
        <v>529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3" t="e">
        <f>G72*0.999</f>
        <v>#REF!</v>
      </c>
      <c r="I72" s="3" t="e">
        <f>H72*0.95*1.0014</f>
        <v>#REF!</v>
      </c>
      <c r="J72" s="3" t="e">
        <f>I72*0.98</f>
        <v>#REF!</v>
      </c>
      <c r="K72" s="3" t="e">
        <f t="shared" ref="K72:Q72" si="18">J72*0.98</f>
        <v>#REF!</v>
      </c>
      <c r="L72" s="3" t="e">
        <f t="shared" si="18"/>
        <v>#REF!</v>
      </c>
      <c r="M72" s="3" t="e">
        <f t="shared" si="18"/>
        <v>#REF!</v>
      </c>
      <c r="N72" s="3" t="e">
        <f t="shared" si="18"/>
        <v>#REF!</v>
      </c>
      <c r="O72" s="3" t="e">
        <f t="shared" si="18"/>
        <v>#REF!</v>
      </c>
      <c r="P72" s="3" t="e">
        <f t="shared" si="18"/>
        <v>#REF!</v>
      </c>
      <c r="Q72" s="3" t="e">
        <f t="shared" si="18"/>
        <v>#REF!</v>
      </c>
    </row>
    <row r="73" spans="2:18" ht="142.5" thickBot="1" x14ac:dyDescent="0.3">
      <c r="B73" s="10">
        <v>48</v>
      </c>
      <c r="C73" s="96" t="s">
        <v>552</v>
      </c>
      <c r="D73" s="11" t="s">
        <v>529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H72*0.3</f>
        <v>#REF!</v>
      </c>
      <c r="I73" s="13" t="e">
        <f>I72*0.53</f>
        <v>#REF!</v>
      </c>
      <c r="J73" s="13" t="e">
        <f>J72</f>
        <v>#REF!</v>
      </c>
      <c r="K73" s="13" t="e">
        <f t="shared" ref="K73:Q73" si="19">K72</f>
        <v>#REF!</v>
      </c>
      <c r="L73" s="13" t="e">
        <f t="shared" si="19"/>
        <v>#REF!</v>
      </c>
      <c r="M73" s="13" t="e">
        <f t="shared" si="19"/>
        <v>#REF!</v>
      </c>
      <c r="N73" s="13" t="e">
        <f t="shared" si="19"/>
        <v>#REF!</v>
      </c>
      <c r="O73" s="13" t="e">
        <f t="shared" si="19"/>
        <v>#REF!</v>
      </c>
      <c r="P73" s="13" t="e">
        <f t="shared" si="19"/>
        <v>#REF!</v>
      </c>
      <c r="Q73" s="13" t="e">
        <f t="shared" si="19"/>
        <v>#REF!</v>
      </c>
    </row>
    <row r="74" spans="2:18" ht="142.5" thickBot="1" x14ac:dyDescent="0.3">
      <c r="B74" s="10">
        <v>49</v>
      </c>
      <c r="C74" s="96" t="s">
        <v>553</v>
      </c>
      <c r="D74" s="11" t="s">
        <v>529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3" t="e">
        <f t="shared" ref="H74:Q74" si="20">H72-H73</f>
        <v>#REF!</v>
      </c>
      <c r="I74" s="3" t="e">
        <f t="shared" si="20"/>
        <v>#REF!</v>
      </c>
      <c r="J74" s="3" t="e">
        <f t="shared" si="20"/>
        <v>#REF!</v>
      </c>
      <c r="K74" s="3" t="e">
        <f t="shared" si="20"/>
        <v>#REF!</v>
      </c>
      <c r="L74" s="3" t="e">
        <f t="shared" si="20"/>
        <v>#REF!</v>
      </c>
      <c r="M74" s="3" t="e">
        <f t="shared" si="20"/>
        <v>#REF!</v>
      </c>
      <c r="N74" s="3" t="e">
        <f t="shared" si="20"/>
        <v>#REF!</v>
      </c>
      <c r="O74" s="3" t="e">
        <f t="shared" si="20"/>
        <v>#REF!</v>
      </c>
      <c r="P74" s="3" t="e">
        <f t="shared" si="20"/>
        <v>#REF!</v>
      </c>
      <c r="Q74" s="3" t="e">
        <f t="shared" si="20"/>
        <v>#REF!</v>
      </c>
    </row>
    <row r="75" spans="2:18" ht="55.5" customHeight="1" thickBot="1" x14ac:dyDescent="0.3">
      <c r="B75" s="18">
        <v>50</v>
      </c>
      <c r="C75" s="96" t="s">
        <v>554</v>
      </c>
      <c r="D75" s="11" t="s">
        <v>517</v>
      </c>
      <c r="E75" s="94" t="e">
        <f>#REF!</f>
        <v>#REF!</v>
      </c>
      <c r="F75" s="94" t="e">
        <f>#REF!</f>
        <v>#REF!</v>
      </c>
      <c r="G75" s="94" t="e">
        <f>#REF!</f>
        <v>#REF!</v>
      </c>
      <c r="H75" s="529">
        <f>553*0.99</f>
        <v>547.47</v>
      </c>
      <c r="I75" s="529">
        <f t="shared" ref="I75:Q75" si="21">H75*0.99</f>
        <v>541.99530000000004</v>
      </c>
      <c r="J75" s="529">
        <f t="shared" si="21"/>
        <v>536.57534700000008</v>
      </c>
      <c r="K75" s="529">
        <f t="shared" si="21"/>
        <v>531.20959353000012</v>
      </c>
      <c r="L75" s="529">
        <f t="shared" si="21"/>
        <v>525.8974975947001</v>
      </c>
      <c r="M75" s="529">
        <f t="shared" si="21"/>
        <v>520.63852261875309</v>
      </c>
      <c r="N75" s="529">
        <f t="shared" si="21"/>
        <v>515.43213739256555</v>
      </c>
      <c r="O75" s="529">
        <f t="shared" si="21"/>
        <v>510.2778160186399</v>
      </c>
      <c r="P75" s="529">
        <f t="shared" si="21"/>
        <v>505.17503785845349</v>
      </c>
      <c r="Q75" s="529">
        <f t="shared" si="21"/>
        <v>500.12328747986896</v>
      </c>
    </row>
    <row r="76" spans="2:18" ht="95.25" thickBot="1" x14ac:dyDescent="0.3">
      <c r="B76" s="10">
        <v>51</v>
      </c>
      <c r="C76" s="96" t="s">
        <v>555</v>
      </c>
      <c r="D76" s="11" t="s">
        <v>517</v>
      </c>
      <c r="E76" s="94" t="e">
        <f>#REF!</f>
        <v>#REF!</v>
      </c>
      <c r="F76" s="94" t="e">
        <f>#REF!</f>
        <v>#REF!</v>
      </c>
      <c r="G76" s="94" t="e">
        <f>#REF!</f>
        <v>#REF!</v>
      </c>
      <c r="H76" s="528">
        <v>0</v>
      </c>
      <c r="I76" s="528">
        <f>I75*0.03</f>
        <v>16.259859000000002</v>
      </c>
      <c r="J76" s="528">
        <f>J75*0.1</f>
        <v>53.657534700000014</v>
      </c>
      <c r="K76" s="528">
        <f>K75*0.2</f>
        <v>106.24191870600004</v>
      </c>
      <c r="L76" s="528">
        <f>L75*0.65</f>
        <v>341.83337343655506</v>
      </c>
      <c r="M76" s="528">
        <f>M75</f>
        <v>520.63852261875309</v>
      </c>
      <c r="N76" s="528">
        <f>N75</f>
        <v>515.43213739256555</v>
      </c>
      <c r="O76" s="528">
        <f>O75</f>
        <v>510.2778160186399</v>
      </c>
      <c r="P76" s="528">
        <f>P75</f>
        <v>505.17503785845349</v>
      </c>
      <c r="Q76" s="528">
        <f>Q75</f>
        <v>500.12328747986896</v>
      </c>
    </row>
    <row r="77" spans="2:18" ht="52.5" customHeight="1" thickBot="1" x14ac:dyDescent="0.3">
      <c r="B77" s="10">
        <v>52</v>
      </c>
      <c r="C77" s="96" t="s">
        <v>556</v>
      </c>
      <c r="D77" s="11" t="s">
        <v>517</v>
      </c>
      <c r="E77" s="94" t="e">
        <f>#REF!</f>
        <v>#REF!</v>
      </c>
      <c r="F77" s="94" t="e">
        <f>#REF!</f>
        <v>#REF!</v>
      </c>
      <c r="G77" s="94" t="e">
        <f>#REF!</f>
        <v>#REF!</v>
      </c>
      <c r="H77" s="158" t="e">
        <f>H133</f>
        <v>#REF!</v>
      </c>
      <c r="I77" s="158" t="e">
        <f>I133</f>
        <v>#REF!</v>
      </c>
      <c r="J77" s="158" t="e">
        <f>J133</f>
        <v>#REF!</v>
      </c>
      <c r="K77" s="158" t="e">
        <f t="shared" ref="K77:Q77" si="22">K133</f>
        <v>#REF!</v>
      </c>
      <c r="L77" s="158" t="e">
        <f t="shared" si="22"/>
        <v>#REF!</v>
      </c>
      <c r="M77" s="158" t="e">
        <f t="shared" si="22"/>
        <v>#REF!</v>
      </c>
      <c r="N77" s="158" t="e">
        <f t="shared" si="22"/>
        <v>#REF!</v>
      </c>
      <c r="O77" s="158" t="e">
        <f t="shared" si="22"/>
        <v>#REF!</v>
      </c>
      <c r="P77" s="158" t="e">
        <f t="shared" si="22"/>
        <v>#REF!</v>
      </c>
      <c r="Q77" s="158" t="e">
        <f t="shared" si="22"/>
        <v>#REF!</v>
      </c>
    </row>
    <row r="78" spans="2:18" ht="142.5" thickBot="1" x14ac:dyDescent="0.3">
      <c r="B78" s="10">
        <v>53</v>
      </c>
      <c r="C78" s="96" t="s">
        <v>557</v>
      </c>
      <c r="D78" s="11" t="s">
        <v>517</v>
      </c>
      <c r="E78" s="94" t="e">
        <f>#REF!</f>
        <v>#REF!</v>
      </c>
      <c r="F78" s="94" t="e">
        <f>#REF!</f>
        <v>#REF!</v>
      </c>
      <c r="G78" s="94" t="e">
        <f>#REF!</f>
        <v>#REF!</v>
      </c>
      <c r="H78" s="158" t="e">
        <f>H129</f>
        <v>#REF!</v>
      </c>
      <c r="I78" s="158" t="e">
        <f>I129</f>
        <v>#REF!</v>
      </c>
      <c r="J78" s="158" t="e">
        <f>J129</f>
        <v>#REF!</v>
      </c>
      <c r="K78" s="158" t="e">
        <f>K129</f>
        <v>#REF!</v>
      </c>
      <c r="L78" s="158" t="e">
        <f>L129</f>
        <v>#REF!</v>
      </c>
      <c r="M78" s="158" t="e">
        <f>M77</f>
        <v>#REF!</v>
      </c>
      <c r="N78" s="158" t="e">
        <f>N77</f>
        <v>#REF!</v>
      </c>
      <c r="O78" s="158" t="e">
        <f>O77</f>
        <v>#REF!</v>
      </c>
      <c r="P78" s="158" t="e">
        <f>P77</f>
        <v>#REF!</v>
      </c>
      <c r="Q78" s="158" t="e">
        <f>Q77</f>
        <v>#REF!</v>
      </c>
    </row>
    <row r="79" spans="2:18" ht="63.75" thickBot="1" x14ac:dyDescent="0.3">
      <c r="B79" s="10">
        <v>54</v>
      </c>
      <c r="C79" s="96" t="s">
        <v>558</v>
      </c>
      <c r="D79" s="11" t="s">
        <v>559</v>
      </c>
      <c r="E79" s="94" t="e">
        <f>#REF!</f>
        <v>#REF!</v>
      </c>
      <c r="F79" s="94" t="e">
        <f>#REF!</f>
        <v>#REF!</v>
      </c>
      <c r="G79" s="94" t="e">
        <f>#REF!</f>
        <v>#REF!</v>
      </c>
      <c r="H79" s="164" t="e">
        <f>H172</f>
        <v>#REF!</v>
      </c>
      <c r="I79" s="164" t="e">
        <f t="shared" ref="I79:Q79" si="23">I172</f>
        <v>#REF!</v>
      </c>
      <c r="J79" s="164" t="e">
        <f t="shared" si="23"/>
        <v>#REF!</v>
      </c>
      <c r="K79" s="164" t="e">
        <f t="shared" si="23"/>
        <v>#REF!</v>
      </c>
      <c r="L79" s="164" t="e">
        <f t="shared" si="23"/>
        <v>#REF!</v>
      </c>
      <c r="M79" s="164" t="e">
        <f t="shared" si="23"/>
        <v>#REF!</v>
      </c>
      <c r="N79" s="164" t="e">
        <f t="shared" si="23"/>
        <v>#REF!</v>
      </c>
      <c r="O79" s="164" t="e">
        <f t="shared" si="23"/>
        <v>#REF!</v>
      </c>
      <c r="P79" s="164" t="e">
        <f t="shared" si="23"/>
        <v>#REF!</v>
      </c>
      <c r="Q79" s="164" t="e">
        <f t="shared" si="23"/>
        <v>#REF!</v>
      </c>
    </row>
    <row r="80" spans="2:18" ht="126.75" thickBot="1" x14ac:dyDescent="0.3">
      <c r="B80" s="10">
        <v>55</v>
      </c>
      <c r="C80" s="96" t="s">
        <v>561</v>
      </c>
      <c r="D80" s="11" t="s">
        <v>559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65" t="e">
        <f>H170</f>
        <v>#REF!</v>
      </c>
      <c r="I80" s="165" t="e">
        <f>I170</f>
        <v>#REF!</v>
      </c>
      <c r="J80" s="165" t="e">
        <f>J172</f>
        <v>#REF!</v>
      </c>
      <c r="K80" s="165" t="e">
        <f t="shared" ref="K80:Q80" si="24">K172</f>
        <v>#REF!</v>
      </c>
      <c r="L80" s="165" t="e">
        <f t="shared" si="24"/>
        <v>#REF!</v>
      </c>
      <c r="M80" s="165" t="e">
        <f t="shared" si="24"/>
        <v>#REF!</v>
      </c>
      <c r="N80" s="165" t="e">
        <f t="shared" si="24"/>
        <v>#REF!</v>
      </c>
      <c r="O80" s="165" t="e">
        <f t="shared" si="24"/>
        <v>#REF!</v>
      </c>
      <c r="P80" s="165" t="e">
        <f t="shared" si="24"/>
        <v>#REF!</v>
      </c>
      <c r="Q80" s="165" t="e">
        <f t="shared" si="24"/>
        <v>#REF!</v>
      </c>
    </row>
    <row r="81" spans="2:18" ht="48" thickBot="1" x14ac:dyDescent="0.3">
      <c r="B81" s="10">
        <v>56</v>
      </c>
      <c r="C81" s="96" t="s">
        <v>562</v>
      </c>
      <c r="D81" s="11" t="s">
        <v>559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65" t="e">
        <f>H176</f>
        <v>#REF!</v>
      </c>
      <c r="I81" s="165" t="e">
        <f>I176</f>
        <v>#REF!</v>
      </c>
      <c r="J81" s="165" t="e">
        <f t="shared" ref="J81:Q81" si="25">J176</f>
        <v>#REF!</v>
      </c>
      <c r="K81" s="165" t="e">
        <f t="shared" si="25"/>
        <v>#REF!</v>
      </c>
      <c r="L81" s="165" t="e">
        <f t="shared" si="25"/>
        <v>#REF!</v>
      </c>
      <c r="M81" s="165" t="e">
        <f t="shared" si="25"/>
        <v>#REF!</v>
      </c>
      <c r="N81" s="165" t="e">
        <f t="shared" si="25"/>
        <v>#REF!</v>
      </c>
      <c r="O81" s="165" t="e">
        <f t="shared" si="25"/>
        <v>#REF!</v>
      </c>
      <c r="P81" s="165" t="e">
        <f t="shared" si="25"/>
        <v>#REF!</v>
      </c>
      <c r="Q81" s="165" t="e">
        <f t="shared" si="25"/>
        <v>#REF!</v>
      </c>
    </row>
    <row r="82" spans="2:18" ht="142.5" thickBot="1" x14ac:dyDescent="0.3">
      <c r="B82" s="10">
        <v>57</v>
      </c>
      <c r="C82" s="96" t="s">
        <v>563</v>
      </c>
      <c r="D82" s="11" t="s">
        <v>559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65" t="e">
        <f>H174</f>
        <v>#REF!</v>
      </c>
      <c r="I82" s="165" t="e">
        <f>I174</f>
        <v>#REF!</v>
      </c>
      <c r="J82" s="165" t="e">
        <f>J176</f>
        <v>#REF!</v>
      </c>
      <c r="K82" s="165" t="e">
        <f t="shared" ref="K82:Q82" si="26">K176</f>
        <v>#REF!</v>
      </c>
      <c r="L82" s="165" t="e">
        <f t="shared" si="26"/>
        <v>#REF!</v>
      </c>
      <c r="M82" s="165" t="e">
        <f t="shared" si="26"/>
        <v>#REF!</v>
      </c>
      <c r="N82" s="165" t="e">
        <f t="shared" si="26"/>
        <v>#REF!</v>
      </c>
      <c r="O82" s="165" t="e">
        <f t="shared" si="26"/>
        <v>#REF!</v>
      </c>
      <c r="P82" s="165" t="e">
        <f t="shared" si="26"/>
        <v>#REF!</v>
      </c>
      <c r="Q82" s="165" t="e">
        <f t="shared" si="26"/>
        <v>#REF!</v>
      </c>
    </row>
    <row r="83" spans="2:18" ht="142.5" thickBot="1" x14ac:dyDescent="0.3">
      <c r="B83" s="10">
        <v>58</v>
      </c>
      <c r="C83" s="96" t="s">
        <v>568</v>
      </c>
      <c r="D83" s="11" t="s">
        <v>559</v>
      </c>
      <c r="E83" s="13" t="e">
        <f>#REF!</f>
        <v>#REF!</v>
      </c>
      <c r="F83" s="13" t="e">
        <f>#REF!</f>
        <v>#REF!</v>
      </c>
      <c r="G83" s="13" t="e">
        <f>#REF!</f>
        <v>#REF!</v>
      </c>
      <c r="H83" s="165" t="e">
        <f>G83*1.8</f>
        <v>#REF!</v>
      </c>
      <c r="I83" s="165" t="e">
        <f>H83*1.005</f>
        <v>#REF!</v>
      </c>
      <c r="J83" s="165" t="e">
        <f>I83*0.66</f>
        <v>#REF!</v>
      </c>
      <c r="K83" s="165" t="e">
        <f>J83*0.63</f>
        <v>#REF!</v>
      </c>
      <c r="L83" s="165" t="e">
        <f t="shared" ref="L83:Q83" si="27">L81-L82</f>
        <v>#REF!</v>
      </c>
      <c r="M83" s="165" t="e">
        <f t="shared" si="27"/>
        <v>#REF!</v>
      </c>
      <c r="N83" s="165" t="e">
        <f t="shared" si="27"/>
        <v>#REF!</v>
      </c>
      <c r="O83" s="165" t="e">
        <f t="shared" si="27"/>
        <v>#REF!</v>
      </c>
      <c r="P83" s="165" t="e">
        <f t="shared" si="27"/>
        <v>#REF!</v>
      </c>
      <c r="Q83" s="165" t="e">
        <f t="shared" si="27"/>
        <v>#REF!</v>
      </c>
    </row>
    <row r="84" spans="2:18" ht="79.5" thickBot="1" x14ac:dyDescent="0.3">
      <c r="B84" s="10">
        <v>59</v>
      </c>
      <c r="C84" s="96" t="s">
        <v>569</v>
      </c>
      <c r="D84" s="11" t="s">
        <v>570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80" t="e">
        <f>H147</f>
        <v>#REF!</v>
      </c>
      <c r="I84" s="180" t="e">
        <f t="shared" ref="I84:Q84" si="28">I147</f>
        <v>#REF!</v>
      </c>
      <c r="J84" s="180" t="e">
        <f t="shared" si="28"/>
        <v>#REF!</v>
      </c>
      <c r="K84" s="180" t="e">
        <f t="shared" si="28"/>
        <v>#REF!</v>
      </c>
      <c r="L84" s="180" t="e">
        <f t="shared" si="28"/>
        <v>#REF!</v>
      </c>
      <c r="M84" s="180" t="e">
        <f t="shared" si="28"/>
        <v>#REF!</v>
      </c>
      <c r="N84" s="180" t="e">
        <f t="shared" si="28"/>
        <v>#REF!</v>
      </c>
      <c r="O84" s="180" t="e">
        <f t="shared" si="28"/>
        <v>#REF!</v>
      </c>
      <c r="P84" s="180" t="e">
        <f t="shared" si="28"/>
        <v>#REF!</v>
      </c>
      <c r="Q84" s="180" t="e">
        <f t="shared" si="28"/>
        <v>#REF!</v>
      </c>
    </row>
    <row r="85" spans="2:18" ht="142.5" thickBot="1" x14ac:dyDescent="0.3">
      <c r="B85" s="10">
        <v>60</v>
      </c>
      <c r="C85" s="96" t="s">
        <v>571</v>
      </c>
      <c r="D85" s="11" t="s">
        <v>570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65" t="e">
        <f>H148</f>
        <v>#REF!</v>
      </c>
      <c r="I85" s="165" t="e">
        <f t="shared" ref="I85:Q85" si="29">I148</f>
        <v>#REF!</v>
      </c>
      <c r="J85" s="165" t="e">
        <f t="shared" si="29"/>
        <v>#REF!</v>
      </c>
      <c r="K85" s="165" t="e">
        <f t="shared" si="29"/>
        <v>#REF!</v>
      </c>
      <c r="L85" s="165" t="e">
        <f t="shared" si="29"/>
        <v>#REF!</v>
      </c>
      <c r="M85" s="165" t="e">
        <f t="shared" si="29"/>
        <v>#REF!</v>
      </c>
      <c r="N85" s="165" t="e">
        <f t="shared" si="29"/>
        <v>#REF!</v>
      </c>
      <c r="O85" s="165" t="e">
        <f t="shared" si="29"/>
        <v>#REF!</v>
      </c>
      <c r="P85" s="165" t="e">
        <f t="shared" si="29"/>
        <v>#REF!</v>
      </c>
      <c r="Q85" s="165" t="e">
        <f t="shared" si="29"/>
        <v>#REF!</v>
      </c>
    </row>
    <row r="86" spans="2:18" ht="63.75" thickBot="1" x14ac:dyDescent="0.3">
      <c r="B86" s="10">
        <v>61</v>
      </c>
      <c r="C86" s="96" t="s">
        <v>572</v>
      </c>
      <c r="D86" s="11" t="s">
        <v>570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79" t="e">
        <f>H160</f>
        <v>#REF!</v>
      </c>
      <c r="I86" s="179" t="e">
        <f t="shared" ref="I86:Q86" si="30">I160</f>
        <v>#REF!</v>
      </c>
      <c r="J86" s="179" t="e">
        <f t="shared" si="30"/>
        <v>#REF!</v>
      </c>
      <c r="K86" s="179" t="e">
        <f t="shared" si="30"/>
        <v>#REF!</v>
      </c>
      <c r="L86" s="179" t="e">
        <f t="shared" si="30"/>
        <v>#REF!</v>
      </c>
      <c r="M86" s="179" t="e">
        <f t="shared" si="30"/>
        <v>#REF!</v>
      </c>
      <c r="N86" s="179" t="e">
        <f t="shared" si="30"/>
        <v>#REF!</v>
      </c>
      <c r="O86" s="179" t="e">
        <f t="shared" si="30"/>
        <v>#REF!</v>
      </c>
      <c r="P86" s="179" t="e">
        <f t="shared" si="30"/>
        <v>#REF!</v>
      </c>
      <c r="Q86" s="179" t="e">
        <f t="shared" si="30"/>
        <v>#REF!</v>
      </c>
    </row>
    <row r="87" spans="2:18" ht="158.25" thickBot="1" x14ac:dyDescent="0.3">
      <c r="B87" s="10">
        <v>62</v>
      </c>
      <c r="C87" s="96" t="s">
        <v>573</v>
      </c>
      <c r="D87" s="11" t="s">
        <v>570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65" t="e">
        <f>H155</f>
        <v>#REF!</v>
      </c>
      <c r="I87" s="165" t="e">
        <f>I155</f>
        <v>#REF!</v>
      </c>
      <c r="J87" s="179" t="e">
        <f>J86</f>
        <v>#REF!</v>
      </c>
      <c r="K87" s="179" t="e">
        <f t="shared" ref="K87:Q87" si="31">K86</f>
        <v>#REF!</v>
      </c>
      <c r="L87" s="179" t="e">
        <f t="shared" si="31"/>
        <v>#REF!</v>
      </c>
      <c r="M87" s="179" t="e">
        <f t="shared" si="31"/>
        <v>#REF!</v>
      </c>
      <c r="N87" s="179" t="e">
        <f t="shared" si="31"/>
        <v>#REF!</v>
      </c>
      <c r="O87" s="179" t="e">
        <f t="shared" si="31"/>
        <v>#REF!</v>
      </c>
      <c r="P87" s="179" t="e">
        <f t="shared" si="31"/>
        <v>#REF!</v>
      </c>
      <c r="Q87" s="179" t="e">
        <f t="shared" si="31"/>
        <v>#REF!</v>
      </c>
    </row>
    <row r="88" spans="2:18" ht="16.5" thickBot="1" x14ac:dyDescent="0.3">
      <c r="B88" s="19">
        <v>63</v>
      </c>
      <c r="C88" s="96" t="s">
        <v>574</v>
      </c>
      <c r="D88" s="11" t="s">
        <v>540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$G$88</f>
        <v>#REF!</v>
      </c>
      <c r="I88" s="13" t="e">
        <f t="shared" ref="I88:Q88" si="32">$G$88</f>
        <v>#REF!</v>
      </c>
      <c r="J88" s="13" t="e">
        <f t="shared" si="32"/>
        <v>#REF!</v>
      </c>
      <c r="K88" s="13" t="e">
        <f t="shared" si="32"/>
        <v>#REF!</v>
      </c>
      <c r="L88" s="13" t="e">
        <f t="shared" si="32"/>
        <v>#REF!</v>
      </c>
      <c r="M88" s="13" t="e">
        <f t="shared" si="32"/>
        <v>#REF!</v>
      </c>
      <c r="N88" s="13" t="e">
        <f t="shared" si="32"/>
        <v>#REF!</v>
      </c>
      <c r="O88" s="13" t="e">
        <f t="shared" si="32"/>
        <v>#REF!</v>
      </c>
      <c r="P88" s="13" t="e">
        <f t="shared" si="32"/>
        <v>#REF!</v>
      </c>
      <c r="Q88" s="13" t="e">
        <f t="shared" si="32"/>
        <v>#REF!</v>
      </c>
    </row>
    <row r="89" spans="2:18" ht="63.75" thickBot="1" x14ac:dyDescent="0.3">
      <c r="B89" s="10">
        <v>64</v>
      </c>
      <c r="C89" s="96" t="s">
        <v>575</v>
      </c>
      <c r="D89" s="26" t="s">
        <v>540</v>
      </c>
      <c r="E89" s="343" t="e">
        <f>#REF!</f>
        <v>#REF!</v>
      </c>
      <c r="F89" s="343" t="e">
        <f>#REF!</f>
        <v>#REF!</v>
      </c>
      <c r="G89" s="343" t="e">
        <f>#REF!</f>
        <v>#REF!</v>
      </c>
      <c r="H89" s="13">
        <v>55</v>
      </c>
      <c r="I89" s="13">
        <v>65</v>
      </c>
      <c r="J89" s="13">
        <v>78</v>
      </c>
      <c r="K89" s="13">
        <v>78</v>
      </c>
      <c r="L89" s="13">
        <v>78</v>
      </c>
      <c r="M89" s="13">
        <v>78</v>
      </c>
      <c r="N89" s="13">
        <v>78</v>
      </c>
      <c r="O89" s="13">
        <v>78</v>
      </c>
      <c r="P89" s="13">
        <v>78</v>
      </c>
      <c r="Q89" s="13">
        <v>78</v>
      </c>
      <c r="R89" t="s">
        <v>405</v>
      </c>
    </row>
    <row r="90" spans="2:18" ht="142.5" thickBot="1" x14ac:dyDescent="0.3">
      <c r="B90" s="20">
        <v>65</v>
      </c>
      <c r="C90" s="96" t="s">
        <v>576</v>
      </c>
      <c r="D90" s="11" t="s">
        <v>519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</row>
    <row r="91" spans="2:18" ht="79.5" thickBot="1" x14ac:dyDescent="0.3">
      <c r="B91" s="19">
        <v>66</v>
      </c>
      <c r="C91" s="96" t="s">
        <v>577</v>
      </c>
      <c r="D91" s="11" t="s">
        <v>519</v>
      </c>
      <c r="E91" s="13" t="e">
        <f>#REF!</f>
        <v>#REF!</v>
      </c>
      <c r="F91" s="13" t="e">
        <f>#REF!</f>
        <v>#REF!</v>
      </c>
      <c r="G91" s="13" t="e">
        <f>#REF!</f>
        <v>#REF!</v>
      </c>
      <c r="H91" s="13" t="e">
        <f>#REF!</f>
        <v>#REF!</v>
      </c>
      <c r="I91" s="13" t="e">
        <f>#REF!</f>
        <v>#REF!</v>
      </c>
      <c r="J91" s="13" t="e">
        <f>#REF!</f>
        <v>#REF!</v>
      </c>
      <c r="K91" s="13" t="e">
        <f>#REF!</f>
        <v>#REF!</v>
      </c>
      <c r="L91" s="13" t="e">
        <f>#REF!</f>
        <v>#REF!</v>
      </c>
      <c r="M91" s="13" t="e">
        <f>#REF!</f>
        <v>#REF!</v>
      </c>
      <c r="N91" s="13" t="e">
        <f>#REF!</f>
        <v>#REF!</v>
      </c>
      <c r="O91" s="13" t="e">
        <f>#REF!</f>
        <v>#REF!</v>
      </c>
      <c r="P91" s="13" t="e">
        <f>#REF!</f>
        <v>#REF!</v>
      </c>
      <c r="Q91" s="13" t="e">
        <f>#REF!</f>
        <v>#REF!</v>
      </c>
    </row>
    <row r="92" spans="2:18" ht="158.25" thickBot="1" x14ac:dyDescent="0.3">
      <c r="B92" s="10">
        <v>67</v>
      </c>
      <c r="C92" s="96" t="s">
        <v>578</v>
      </c>
      <c r="D92" s="11" t="s">
        <v>519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</row>
    <row r="93" spans="2:18" ht="95.25" thickBot="1" x14ac:dyDescent="0.3">
      <c r="B93" s="19">
        <v>68</v>
      </c>
      <c r="C93" s="96" t="s">
        <v>579</v>
      </c>
      <c r="D93" s="11" t="s">
        <v>519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</row>
    <row r="94" spans="2:18" ht="142.5" thickBot="1" x14ac:dyDescent="0.3">
      <c r="B94" s="19">
        <v>69</v>
      </c>
      <c r="C94" s="96" t="s">
        <v>580</v>
      </c>
      <c r="D94" s="11" t="s">
        <v>519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</row>
    <row r="95" spans="2:18" ht="79.5" thickBot="1" x14ac:dyDescent="0.3">
      <c r="B95" s="10">
        <v>70</v>
      </c>
      <c r="C95" s="96" t="s">
        <v>581</v>
      </c>
      <c r="D95" s="11" t="s">
        <v>519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</row>
    <row r="96" spans="2:18" ht="158.25" thickBot="1" x14ac:dyDescent="0.3">
      <c r="B96" s="10">
        <v>71</v>
      </c>
      <c r="C96" s="96" t="s">
        <v>582</v>
      </c>
      <c r="D96" s="11" t="s">
        <v>519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</row>
    <row r="97" spans="2:17" ht="95.25" thickBot="1" x14ac:dyDescent="0.3">
      <c r="B97" s="10">
        <v>72</v>
      </c>
      <c r="C97" s="96" t="s">
        <v>583</v>
      </c>
      <c r="D97" s="11" t="s">
        <v>519</v>
      </c>
      <c r="E97" s="14" t="e">
        <f>#REF!</f>
        <v>#REF!</v>
      </c>
      <c r="F97" s="14" t="e">
        <f>#REF!</f>
        <v>#REF!</v>
      </c>
      <c r="G97" s="14" t="e">
        <f>#REF!</f>
        <v>#REF!</v>
      </c>
      <c r="H97" s="14" t="e">
        <f>#REF!</f>
        <v>#REF!</v>
      </c>
      <c r="I97" s="14" t="e">
        <f>#REF!</f>
        <v>#REF!</v>
      </c>
      <c r="J97" s="14" t="e">
        <f>#REF!</f>
        <v>#REF!</v>
      </c>
      <c r="K97" s="14" t="e">
        <f>#REF!</f>
        <v>#REF!</v>
      </c>
      <c r="L97" s="14" t="e">
        <f>#REF!</f>
        <v>#REF!</v>
      </c>
      <c r="M97" s="14" t="e">
        <f>#REF!</f>
        <v>#REF!</v>
      </c>
      <c r="N97" s="14" t="e">
        <f>#REF!</f>
        <v>#REF!</v>
      </c>
      <c r="O97" s="14" t="e">
        <f>#REF!</f>
        <v>#REF!</v>
      </c>
      <c r="P97" s="14" t="e">
        <f>#REF!</f>
        <v>#REF!</v>
      </c>
      <c r="Q97" s="14" t="e">
        <f>#REF!</f>
        <v>#REF!</v>
      </c>
    </row>
    <row r="98" spans="2:17" ht="58.5" customHeight="1" thickBot="1" x14ac:dyDescent="0.3">
      <c r="B98" s="10">
        <v>73</v>
      </c>
      <c r="C98" s="96" t="s">
        <v>584</v>
      </c>
      <c r="D98" s="15" t="s">
        <v>585</v>
      </c>
      <c r="E98" s="99" t="e">
        <f>#REF!</f>
        <v>#REF!</v>
      </c>
      <c r="F98" s="99" t="e">
        <f>#REF!</f>
        <v>#REF!</v>
      </c>
      <c r="G98" s="99" t="e">
        <f>#REF!</f>
        <v>#REF!</v>
      </c>
      <c r="H98" s="97"/>
      <c r="I98" s="3"/>
      <c r="J98" s="3"/>
      <c r="K98" s="3"/>
      <c r="L98" s="3"/>
      <c r="M98" s="3"/>
      <c r="N98" s="3"/>
      <c r="O98" s="3"/>
      <c r="P98" s="3"/>
      <c r="Q98" s="3"/>
    </row>
    <row r="99" spans="2:17" ht="48.75" customHeight="1" thickBot="1" x14ac:dyDescent="0.3">
      <c r="B99" s="10">
        <v>74</v>
      </c>
      <c r="C99" s="96" t="s">
        <v>586</v>
      </c>
      <c r="D99" s="15" t="s">
        <v>587</v>
      </c>
      <c r="E99" s="99" t="e">
        <f>#REF!</f>
        <v>#REF!</v>
      </c>
      <c r="F99" s="99" t="e">
        <f>#REF!</f>
        <v>#REF!</v>
      </c>
      <c r="G99" s="99" t="e">
        <f>#REF!</f>
        <v>#REF!</v>
      </c>
      <c r="H99" s="97"/>
      <c r="I99" s="3"/>
      <c r="J99" s="3"/>
      <c r="K99" s="3"/>
      <c r="L99" s="3"/>
      <c r="M99" s="3"/>
      <c r="N99" s="3"/>
      <c r="O99" s="3"/>
      <c r="P99" s="3"/>
      <c r="Q99" s="3"/>
    </row>
    <row r="100" spans="2:17" ht="54.75" customHeight="1" thickBot="1" x14ac:dyDescent="0.3">
      <c r="B100" s="10">
        <v>75</v>
      </c>
      <c r="C100" s="96" t="s">
        <v>588</v>
      </c>
      <c r="D100" s="15" t="s">
        <v>529</v>
      </c>
      <c r="E100" s="99" t="e">
        <f>#REF!</f>
        <v>#REF!</v>
      </c>
      <c r="F100" s="99" t="e">
        <f>#REF!</f>
        <v>#REF!</v>
      </c>
      <c r="G100" s="99" t="e">
        <f>#REF!</f>
        <v>#REF!</v>
      </c>
      <c r="H100" s="97"/>
      <c r="I100" s="3"/>
      <c r="J100" s="3"/>
      <c r="K100" s="3"/>
      <c r="L100" s="3"/>
      <c r="M100" s="3"/>
      <c r="N100" s="3"/>
      <c r="O100" s="3"/>
      <c r="P100" s="3"/>
      <c r="Q100" s="3"/>
    </row>
    <row r="101" spans="2:17" ht="47.25" customHeight="1" thickBot="1" x14ac:dyDescent="0.3">
      <c r="B101" s="10">
        <v>76</v>
      </c>
      <c r="C101" s="96" t="s">
        <v>589</v>
      </c>
      <c r="D101" s="15" t="s">
        <v>590</v>
      </c>
      <c r="E101" s="99" t="e">
        <f>#REF!</f>
        <v>#REF!</v>
      </c>
      <c r="F101" s="99" t="e">
        <f>#REF!</f>
        <v>#REF!</v>
      </c>
      <c r="G101" s="99" t="e">
        <f>#REF!</f>
        <v>#REF!</v>
      </c>
      <c r="H101" s="97"/>
      <c r="I101" s="3"/>
      <c r="J101" s="3"/>
      <c r="K101" s="3"/>
      <c r="L101" s="3"/>
      <c r="M101" s="3"/>
      <c r="N101" s="3"/>
      <c r="O101" s="3"/>
      <c r="P101" s="3"/>
      <c r="Q101" s="3"/>
    </row>
    <row r="102" spans="2:17" ht="48.75" customHeight="1" thickBot="1" x14ac:dyDescent="0.3">
      <c r="B102" s="10">
        <v>77</v>
      </c>
      <c r="C102" s="96" t="s">
        <v>591</v>
      </c>
      <c r="D102" s="15" t="s">
        <v>559</v>
      </c>
      <c r="E102" s="99" t="e">
        <f>#REF!</f>
        <v>#REF!</v>
      </c>
      <c r="F102" s="99" t="e">
        <f>#REF!</f>
        <v>#REF!</v>
      </c>
      <c r="G102" s="99" t="e">
        <f>#REF!</f>
        <v>#REF!</v>
      </c>
      <c r="H102" s="97"/>
      <c r="I102" s="3"/>
      <c r="J102" s="3"/>
      <c r="K102" s="3"/>
      <c r="L102" s="3"/>
      <c r="M102" s="3"/>
      <c r="N102" s="3"/>
      <c r="O102" s="3"/>
      <c r="P102" s="3"/>
      <c r="Q102" s="3"/>
    </row>
    <row r="103" spans="2:17" ht="54.75" customHeight="1" thickBot="1" x14ac:dyDescent="0.3">
      <c r="B103" s="10">
        <v>78</v>
      </c>
      <c r="C103" s="96" t="s">
        <v>592</v>
      </c>
      <c r="D103" s="15" t="s">
        <v>529</v>
      </c>
      <c r="E103" s="99" t="e">
        <f>#REF!</f>
        <v>#REF!</v>
      </c>
      <c r="F103" s="99" t="e">
        <f>#REF!</f>
        <v>#REF!</v>
      </c>
      <c r="G103" s="99" t="e">
        <f>#REF!</f>
        <v>#REF!</v>
      </c>
      <c r="H103" s="97"/>
      <c r="I103" s="3"/>
      <c r="J103" s="3"/>
      <c r="K103" s="3"/>
      <c r="L103" s="3"/>
      <c r="M103" s="3"/>
      <c r="N103" s="3"/>
      <c r="O103" s="3"/>
      <c r="P103" s="3"/>
      <c r="Q103" s="3"/>
    </row>
    <row r="104" spans="2:17" ht="142.5" thickBot="1" x14ac:dyDescent="0.3">
      <c r="B104" s="10">
        <v>79</v>
      </c>
      <c r="C104" s="96" t="s">
        <v>601</v>
      </c>
      <c r="D104" s="15" t="s">
        <v>540</v>
      </c>
      <c r="E104" s="99" t="e">
        <f>#REF!</f>
        <v>#REF!</v>
      </c>
      <c r="F104" s="99" t="e">
        <f>#REF!</f>
        <v>#REF!</v>
      </c>
      <c r="G104" s="99" t="e">
        <f>#REF!</f>
        <v>#REF!</v>
      </c>
      <c r="H104" s="97"/>
      <c r="I104" s="3"/>
      <c r="J104" s="3"/>
      <c r="K104" s="3"/>
      <c r="L104" s="3"/>
      <c r="M104" s="3"/>
      <c r="N104" s="3"/>
      <c r="O104" s="3"/>
      <c r="P104" s="3"/>
      <c r="Q104" s="3"/>
    </row>
    <row r="105" spans="2:17" ht="189.75" thickBot="1" x14ac:dyDescent="0.3">
      <c r="B105" s="10">
        <v>80</v>
      </c>
      <c r="C105" s="96" t="s">
        <v>5</v>
      </c>
      <c r="D105" s="11" t="s">
        <v>540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7" spans="2:17" x14ac:dyDescent="0.2">
      <c r="C107" s="23" t="s">
        <v>395</v>
      </c>
    </row>
    <row r="108" spans="2:17" ht="16.5" thickBot="1" x14ac:dyDescent="0.3">
      <c r="C108" s="50" t="s">
        <v>394</v>
      </c>
      <c r="E108" s="25">
        <v>2007</v>
      </c>
      <c r="F108" s="25">
        <v>2008</v>
      </c>
      <c r="G108" s="25">
        <v>2009</v>
      </c>
      <c r="H108" s="25">
        <v>2010</v>
      </c>
      <c r="I108" s="25">
        <v>2011</v>
      </c>
      <c r="J108" s="25">
        <v>2012</v>
      </c>
      <c r="K108" s="25">
        <v>2013</v>
      </c>
      <c r="L108" s="25">
        <v>2014</v>
      </c>
      <c r="M108" s="25">
        <v>2015</v>
      </c>
      <c r="N108" s="25">
        <v>2016</v>
      </c>
      <c r="O108" s="25">
        <v>2017</v>
      </c>
      <c r="P108" s="25">
        <v>2018</v>
      </c>
      <c r="Q108" s="25">
        <v>2019</v>
      </c>
    </row>
    <row r="109" spans="2:17" ht="16.5" thickBot="1" x14ac:dyDescent="0.3">
      <c r="B109" s="35"/>
      <c r="C109" s="46" t="s">
        <v>400</v>
      </c>
      <c r="D109" s="41" t="s">
        <v>517</v>
      </c>
      <c r="E109" s="51" t="e">
        <f>E41</f>
        <v>#REF!</v>
      </c>
      <c r="F109" s="51" t="e">
        <f t="shared" ref="F109:Q109" si="33">F41</f>
        <v>#REF!</v>
      </c>
      <c r="G109" s="51" t="e">
        <f t="shared" si="33"/>
        <v>#REF!</v>
      </c>
      <c r="H109" s="51" t="e">
        <f t="shared" si="33"/>
        <v>#REF!</v>
      </c>
      <c r="I109" s="51" t="e">
        <f t="shared" si="33"/>
        <v>#REF!</v>
      </c>
      <c r="J109" s="51" t="e">
        <f t="shared" si="33"/>
        <v>#REF!</v>
      </c>
      <c r="K109" s="51" t="e">
        <f t="shared" si="33"/>
        <v>#REF!</v>
      </c>
      <c r="L109" s="51" t="e">
        <f t="shared" si="33"/>
        <v>#REF!</v>
      </c>
      <c r="M109" s="51" t="e">
        <f t="shared" si="33"/>
        <v>#REF!</v>
      </c>
      <c r="N109" s="51" t="e">
        <f t="shared" si="33"/>
        <v>#REF!</v>
      </c>
      <c r="O109" s="51" t="e">
        <f t="shared" si="33"/>
        <v>#REF!</v>
      </c>
      <c r="P109" s="52" t="e">
        <f t="shared" si="33"/>
        <v>#REF!</v>
      </c>
      <c r="Q109" s="53" t="e">
        <f t="shared" si="33"/>
        <v>#REF!</v>
      </c>
    </row>
    <row r="110" spans="2:17" ht="15.75" x14ac:dyDescent="0.25">
      <c r="B110" s="36"/>
      <c r="C110" s="47" t="s">
        <v>396</v>
      </c>
      <c r="D110" s="42" t="s">
        <v>517</v>
      </c>
      <c r="E110" s="54"/>
      <c r="F110" s="54"/>
      <c r="G110" s="54"/>
      <c r="H110" s="54" t="e">
        <f>G109-H109</f>
        <v>#REF!</v>
      </c>
      <c r="I110" s="54" t="e">
        <f t="shared" ref="I110:Q110" si="34">H109-I109</f>
        <v>#REF!</v>
      </c>
      <c r="J110" s="54" t="e">
        <f t="shared" si="34"/>
        <v>#REF!</v>
      </c>
      <c r="K110" s="54" t="e">
        <f t="shared" si="34"/>
        <v>#REF!</v>
      </c>
      <c r="L110" s="54" t="e">
        <f t="shared" si="34"/>
        <v>#REF!</v>
      </c>
      <c r="M110" s="54" t="e">
        <f t="shared" si="34"/>
        <v>#REF!</v>
      </c>
      <c r="N110" s="54" t="e">
        <f t="shared" si="34"/>
        <v>#REF!</v>
      </c>
      <c r="O110" s="54" t="e">
        <f t="shared" si="34"/>
        <v>#REF!</v>
      </c>
      <c r="P110" s="54" t="e">
        <f t="shared" si="34"/>
        <v>#REF!</v>
      </c>
      <c r="Q110" s="54" t="e">
        <f t="shared" si="34"/>
        <v>#REF!</v>
      </c>
    </row>
    <row r="111" spans="2:17" ht="16.5" thickBot="1" x14ac:dyDescent="0.3">
      <c r="B111" s="37"/>
      <c r="C111" s="48" t="s">
        <v>399</v>
      </c>
      <c r="D111" s="43" t="s">
        <v>509</v>
      </c>
      <c r="E111" s="34"/>
      <c r="F111" s="34"/>
      <c r="G111" s="34"/>
      <c r="H111" s="95" t="e">
        <f>H110*0.143</f>
        <v>#REF!</v>
      </c>
      <c r="I111" s="95" t="e">
        <f t="shared" ref="I111:Q111" si="35">I110*0.143</f>
        <v>#REF!</v>
      </c>
      <c r="J111" s="95" t="e">
        <f t="shared" si="35"/>
        <v>#REF!</v>
      </c>
      <c r="K111" s="95" t="e">
        <f t="shared" si="35"/>
        <v>#REF!</v>
      </c>
      <c r="L111" s="95" t="e">
        <f t="shared" si="35"/>
        <v>#REF!</v>
      </c>
      <c r="M111" s="95" t="e">
        <f t="shared" si="35"/>
        <v>#REF!</v>
      </c>
      <c r="N111" s="95" t="e">
        <f t="shared" si="35"/>
        <v>#REF!</v>
      </c>
      <c r="O111" s="95" t="e">
        <f t="shared" si="35"/>
        <v>#REF!</v>
      </c>
      <c r="P111" s="95" t="e">
        <f t="shared" si="35"/>
        <v>#REF!</v>
      </c>
      <c r="Q111" s="95" t="e">
        <f t="shared" si="35"/>
        <v>#REF!</v>
      </c>
    </row>
    <row r="112" spans="2:17" ht="32.25" thickBot="1" x14ac:dyDescent="0.3">
      <c r="B112" s="382"/>
      <c r="C112" s="129" t="s">
        <v>476</v>
      </c>
      <c r="D112" s="383"/>
      <c r="E112" s="384"/>
      <c r="F112" s="384"/>
      <c r="G112" s="384"/>
      <c r="H112" s="385"/>
      <c r="I112" s="385"/>
      <c r="J112" s="385"/>
      <c r="K112" s="385"/>
      <c r="L112" s="385"/>
      <c r="M112" s="385"/>
      <c r="N112" s="385"/>
      <c r="O112" s="385"/>
      <c r="P112" s="385"/>
      <c r="Q112" s="386"/>
    </row>
    <row r="113" spans="2:17" ht="25.5" customHeight="1" x14ac:dyDescent="0.2">
      <c r="B113" s="38"/>
      <c r="C113" s="49" t="s">
        <v>401</v>
      </c>
      <c r="D113" s="44" t="s">
        <v>529</v>
      </c>
      <c r="E113" s="32" t="e">
        <f>E51</f>
        <v>#REF!</v>
      </c>
      <c r="F113" s="32" t="e">
        <f t="shared" ref="F113:Q113" si="36">F51</f>
        <v>#REF!</v>
      </c>
      <c r="G113" s="89" t="e">
        <f t="shared" si="36"/>
        <v>#REF!</v>
      </c>
      <c r="H113" s="33" t="e">
        <f t="shared" si="36"/>
        <v>#REF!</v>
      </c>
      <c r="I113" s="33" t="e">
        <f t="shared" si="36"/>
        <v>#REF!</v>
      </c>
      <c r="J113" s="33" t="e">
        <f t="shared" si="36"/>
        <v>#REF!</v>
      </c>
      <c r="K113" s="33" t="e">
        <f t="shared" si="36"/>
        <v>#REF!</v>
      </c>
      <c r="L113" s="33" t="e">
        <f t="shared" si="36"/>
        <v>#REF!</v>
      </c>
      <c r="M113" s="33" t="e">
        <f t="shared" si="36"/>
        <v>#REF!</v>
      </c>
      <c r="N113" s="33" t="e">
        <f t="shared" si="36"/>
        <v>#REF!</v>
      </c>
      <c r="O113" s="33" t="e">
        <f t="shared" si="36"/>
        <v>#REF!</v>
      </c>
      <c r="P113" s="33" t="e">
        <f t="shared" si="36"/>
        <v>#REF!</v>
      </c>
      <c r="Q113" s="381" t="e">
        <f t="shared" si="36"/>
        <v>#REF!</v>
      </c>
    </row>
    <row r="114" spans="2:17" ht="25.5" customHeight="1" x14ac:dyDescent="0.2">
      <c r="B114" s="36"/>
      <c r="C114" s="47" t="s">
        <v>396</v>
      </c>
      <c r="D114" s="44" t="s">
        <v>529</v>
      </c>
      <c r="E114" s="29"/>
      <c r="F114" s="29"/>
      <c r="G114" s="29"/>
      <c r="H114" s="29" t="e">
        <f>$E$113-H113</f>
        <v>#REF!</v>
      </c>
      <c r="I114" s="29" t="e">
        <f t="shared" ref="I114:Q114" si="37">$E$113-I113</f>
        <v>#REF!</v>
      </c>
      <c r="J114" s="29" t="e">
        <f t="shared" si="37"/>
        <v>#REF!</v>
      </c>
      <c r="K114" s="29" t="e">
        <f t="shared" si="37"/>
        <v>#REF!</v>
      </c>
      <c r="L114" s="29" t="e">
        <f t="shared" si="37"/>
        <v>#REF!</v>
      </c>
      <c r="M114" s="29" t="e">
        <f t="shared" si="37"/>
        <v>#REF!</v>
      </c>
      <c r="N114" s="29" t="e">
        <f t="shared" si="37"/>
        <v>#REF!</v>
      </c>
      <c r="O114" s="29" t="e">
        <f t="shared" si="37"/>
        <v>#REF!</v>
      </c>
      <c r="P114" s="29" t="e">
        <f t="shared" si="37"/>
        <v>#REF!</v>
      </c>
      <c r="Q114" s="29" t="e">
        <f t="shared" si="37"/>
        <v>#REF!</v>
      </c>
    </row>
    <row r="115" spans="2:17" ht="25.5" customHeight="1" thickBot="1" x14ac:dyDescent="0.25">
      <c r="B115" s="37"/>
      <c r="C115" s="48" t="s">
        <v>399</v>
      </c>
      <c r="D115" s="43" t="s">
        <v>509</v>
      </c>
      <c r="E115" s="30"/>
      <c r="F115" s="30"/>
      <c r="G115" s="30"/>
      <c r="H115" s="31" t="e">
        <f>((H114/1000)*0.123)</f>
        <v>#REF!</v>
      </c>
      <c r="I115" s="31" t="e">
        <f t="shared" ref="I115:Q115" si="38">((I114/1000)*0.123)</f>
        <v>#REF!</v>
      </c>
      <c r="J115" s="31" t="e">
        <f t="shared" si="38"/>
        <v>#REF!</v>
      </c>
      <c r="K115" s="31" t="e">
        <f t="shared" si="38"/>
        <v>#REF!</v>
      </c>
      <c r="L115" s="31" t="e">
        <f t="shared" si="38"/>
        <v>#REF!</v>
      </c>
      <c r="M115" s="31" t="e">
        <f t="shared" si="38"/>
        <v>#REF!</v>
      </c>
      <c r="N115" s="31" t="e">
        <f t="shared" si="38"/>
        <v>#REF!</v>
      </c>
      <c r="O115" s="31" t="e">
        <f t="shared" si="38"/>
        <v>#REF!</v>
      </c>
      <c r="P115" s="31" t="e">
        <f t="shared" si="38"/>
        <v>#REF!</v>
      </c>
      <c r="Q115" s="31" t="e">
        <f t="shared" si="38"/>
        <v>#REF!</v>
      </c>
    </row>
    <row r="116" spans="2:17" ht="55.5" customHeight="1" x14ac:dyDescent="0.25">
      <c r="B116" s="38">
        <v>31</v>
      </c>
      <c r="C116" s="49" t="s">
        <v>402</v>
      </c>
      <c r="D116" s="45" t="s">
        <v>491</v>
      </c>
      <c r="E116" s="27" t="e">
        <f>E56</f>
        <v>#REF!</v>
      </c>
      <c r="F116" s="27" t="e">
        <f t="shared" ref="F116:Q116" si="39">F56</f>
        <v>#REF!</v>
      </c>
      <c r="G116" s="27" t="e">
        <f t="shared" si="39"/>
        <v>#REF!</v>
      </c>
      <c r="H116" s="27" t="e">
        <f t="shared" si="39"/>
        <v>#REF!</v>
      </c>
      <c r="I116" s="27" t="e">
        <f t="shared" si="39"/>
        <v>#REF!</v>
      </c>
      <c r="J116" s="27" t="e">
        <f t="shared" si="39"/>
        <v>#REF!</v>
      </c>
      <c r="K116" s="27" t="e">
        <f t="shared" si="39"/>
        <v>#REF!</v>
      </c>
      <c r="L116" s="27" t="e">
        <f t="shared" si="39"/>
        <v>#REF!</v>
      </c>
      <c r="M116" s="27" t="e">
        <f t="shared" si="39"/>
        <v>#REF!</v>
      </c>
      <c r="N116" s="27" t="e">
        <f t="shared" si="39"/>
        <v>#REF!</v>
      </c>
      <c r="O116" s="27" t="e">
        <f t="shared" si="39"/>
        <v>#REF!</v>
      </c>
      <c r="P116" s="27" t="e">
        <f t="shared" si="39"/>
        <v>#REF!</v>
      </c>
      <c r="Q116" s="28" t="e">
        <f t="shared" si="39"/>
        <v>#REF!</v>
      </c>
    </row>
    <row r="117" spans="2:17" ht="31.5" x14ac:dyDescent="0.2">
      <c r="B117" s="39"/>
      <c r="C117" s="47" t="s">
        <v>396</v>
      </c>
      <c r="D117" s="45" t="s">
        <v>491</v>
      </c>
      <c r="E117" s="3"/>
      <c r="F117" s="3"/>
      <c r="G117" s="3"/>
      <c r="H117" s="3" t="e">
        <f>G116-H116</f>
        <v>#REF!</v>
      </c>
      <c r="I117" s="3" t="e">
        <f t="shared" ref="I117:Q117" si="40">H116-I116</f>
        <v>#REF!</v>
      </c>
      <c r="J117" s="3" t="e">
        <f t="shared" si="40"/>
        <v>#REF!</v>
      </c>
      <c r="K117" s="3" t="e">
        <f t="shared" si="40"/>
        <v>#REF!</v>
      </c>
      <c r="L117" s="3" t="e">
        <f t="shared" si="40"/>
        <v>#REF!</v>
      </c>
      <c r="M117" s="3" t="e">
        <f t="shared" si="40"/>
        <v>#REF!</v>
      </c>
      <c r="N117" s="3" t="e">
        <f t="shared" si="40"/>
        <v>#REF!</v>
      </c>
      <c r="O117" s="3" t="e">
        <f t="shared" si="40"/>
        <v>#REF!</v>
      </c>
      <c r="P117" s="3" t="e">
        <f t="shared" si="40"/>
        <v>#REF!</v>
      </c>
      <c r="Q117" s="3" t="e">
        <f t="shared" si="40"/>
        <v>#REF!</v>
      </c>
    </row>
    <row r="118" spans="2:17" ht="16.5" thickBot="1" x14ac:dyDescent="0.25">
      <c r="B118" s="40"/>
      <c r="C118" s="55" t="s">
        <v>399</v>
      </c>
      <c r="D118" s="56" t="s">
        <v>509</v>
      </c>
      <c r="E118" s="57"/>
      <c r="F118" s="57"/>
      <c r="G118" s="57"/>
      <c r="H118" s="58" t="e">
        <f>H117*1.137</f>
        <v>#REF!</v>
      </c>
      <c r="I118" s="58" t="e">
        <f t="shared" ref="I118:Q118" si="41">I117*1.137</f>
        <v>#REF!</v>
      </c>
      <c r="J118" s="58" t="e">
        <f t="shared" si="41"/>
        <v>#REF!</v>
      </c>
      <c r="K118" s="58" t="e">
        <f t="shared" si="41"/>
        <v>#REF!</v>
      </c>
      <c r="L118" s="58" t="e">
        <f t="shared" si="41"/>
        <v>#REF!</v>
      </c>
      <c r="M118" s="58" t="e">
        <f t="shared" si="41"/>
        <v>#REF!</v>
      </c>
      <c r="N118" s="58" t="e">
        <f t="shared" si="41"/>
        <v>#REF!</v>
      </c>
      <c r="O118" s="58" t="e">
        <f t="shared" si="41"/>
        <v>#REF!</v>
      </c>
      <c r="P118" s="58" t="e">
        <f t="shared" si="41"/>
        <v>#REF!</v>
      </c>
      <c r="Q118" s="58" t="e">
        <f t="shared" si="41"/>
        <v>#REF!</v>
      </c>
    </row>
    <row r="119" spans="2:17" x14ac:dyDescent="0.2">
      <c r="C119" s="362" t="s">
        <v>403</v>
      </c>
      <c r="D119" s="356" t="s">
        <v>509</v>
      </c>
      <c r="E119" s="356"/>
      <c r="F119" s="356"/>
      <c r="G119" s="356"/>
      <c r="H119" s="363" t="e">
        <f>H111+H115+H118</f>
        <v>#REF!</v>
      </c>
      <c r="I119" s="363" t="e">
        <f t="shared" ref="I119:Q119" si="42">I111+I115+I118</f>
        <v>#REF!</v>
      </c>
      <c r="J119" s="363" t="e">
        <f t="shared" si="42"/>
        <v>#REF!</v>
      </c>
      <c r="K119" s="363" t="e">
        <f t="shared" si="42"/>
        <v>#REF!</v>
      </c>
      <c r="L119" s="363" t="e">
        <f t="shared" si="42"/>
        <v>#REF!</v>
      </c>
      <c r="M119" s="363" t="e">
        <f t="shared" si="42"/>
        <v>#REF!</v>
      </c>
      <c r="N119" s="363" t="e">
        <f t="shared" si="42"/>
        <v>#REF!</v>
      </c>
      <c r="O119" s="363" t="e">
        <f t="shared" si="42"/>
        <v>#REF!</v>
      </c>
      <c r="P119" s="363" t="e">
        <f t="shared" si="42"/>
        <v>#REF!</v>
      </c>
      <c r="Q119" s="364" t="e">
        <f t="shared" si="42"/>
        <v>#REF!</v>
      </c>
    </row>
    <row r="120" spans="2:17" x14ac:dyDescent="0.2">
      <c r="C120" s="6" t="s">
        <v>606</v>
      </c>
      <c r="D120" s="3" t="s">
        <v>491</v>
      </c>
      <c r="E120" s="3" t="e">
        <f>E46</f>
        <v>#REF!</v>
      </c>
      <c r="F120" s="3" t="e">
        <f t="shared" ref="F120:Q120" si="43">F46</f>
        <v>#REF!</v>
      </c>
      <c r="G120" s="3" t="e">
        <f t="shared" si="43"/>
        <v>#REF!</v>
      </c>
      <c r="H120" s="3" t="e">
        <f t="shared" si="43"/>
        <v>#REF!</v>
      </c>
      <c r="I120" s="3" t="e">
        <f t="shared" si="43"/>
        <v>#REF!</v>
      </c>
      <c r="J120" s="3" t="e">
        <f t="shared" si="43"/>
        <v>#REF!</v>
      </c>
      <c r="K120" s="3" t="e">
        <f t="shared" si="43"/>
        <v>#REF!</v>
      </c>
      <c r="L120" s="3" t="e">
        <f t="shared" si="43"/>
        <v>#REF!</v>
      </c>
      <c r="M120" s="3" t="e">
        <f t="shared" si="43"/>
        <v>#REF!</v>
      </c>
      <c r="N120" s="3" t="e">
        <f t="shared" si="43"/>
        <v>#REF!</v>
      </c>
      <c r="O120" s="3" t="e">
        <f t="shared" si="43"/>
        <v>#REF!</v>
      </c>
      <c r="P120" s="3" t="e">
        <f t="shared" si="43"/>
        <v>#REF!</v>
      </c>
      <c r="Q120" s="3" t="e">
        <f t="shared" si="43"/>
        <v>#REF!</v>
      </c>
    </row>
    <row r="121" spans="2:17" x14ac:dyDescent="0.2">
      <c r="C121" s="6" t="s">
        <v>607</v>
      </c>
      <c r="D121" s="3" t="s">
        <v>491</v>
      </c>
      <c r="E121" s="3"/>
      <c r="F121" s="3"/>
      <c r="G121" s="3"/>
      <c r="H121" s="365" t="e">
        <f>G120-H120</f>
        <v>#REF!</v>
      </c>
      <c r="I121" s="365" t="e">
        <f t="shared" ref="I121:Q121" si="44">H120-I120</f>
        <v>#REF!</v>
      </c>
      <c r="J121" s="365" t="e">
        <f t="shared" si="44"/>
        <v>#REF!</v>
      </c>
      <c r="K121" s="365" t="e">
        <f t="shared" si="44"/>
        <v>#REF!</v>
      </c>
      <c r="L121" s="365" t="e">
        <f t="shared" si="44"/>
        <v>#REF!</v>
      </c>
      <c r="M121" s="365" t="e">
        <f t="shared" si="44"/>
        <v>#REF!</v>
      </c>
      <c r="N121" s="365" t="e">
        <f t="shared" si="44"/>
        <v>#REF!</v>
      </c>
      <c r="O121" s="365" t="e">
        <f t="shared" si="44"/>
        <v>#REF!</v>
      </c>
      <c r="P121" s="365" t="e">
        <f t="shared" si="44"/>
        <v>#REF!</v>
      </c>
      <c r="Q121" s="365" t="e">
        <f t="shared" si="44"/>
        <v>#REF!</v>
      </c>
    </row>
    <row r="122" spans="2:17" x14ac:dyDescent="0.2">
      <c r="C122" s="90"/>
      <c r="D122" s="91"/>
      <c r="E122" s="91"/>
      <c r="F122" s="91"/>
      <c r="G122" s="91"/>
      <c r="H122" s="361"/>
      <c r="I122" s="361"/>
      <c r="J122" s="361"/>
      <c r="K122" s="361"/>
      <c r="L122" s="361"/>
      <c r="M122" s="361"/>
      <c r="N122" s="361"/>
      <c r="O122" s="361"/>
      <c r="P122" s="361"/>
      <c r="Q122" s="361"/>
    </row>
    <row r="124" spans="2:17" ht="13.5" thickBot="1" x14ac:dyDescent="0.25">
      <c r="H124" t="e">
        <f>H127/G127</f>
        <v>#REF!</v>
      </c>
      <c r="I124" s="87" t="e">
        <f>I127/H127</f>
        <v>#REF!</v>
      </c>
      <c r="J124" s="87" t="e">
        <f>J127/I127</f>
        <v>#REF!</v>
      </c>
      <c r="K124" s="87" t="e">
        <f t="shared" ref="K124:Q124" si="45">K127/J127</f>
        <v>#REF!</v>
      </c>
      <c r="L124" s="87" t="e">
        <f t="shared" si="45"/>
        <v>#REF!</v>
      </c>
      <c r="M124" s="87" t="e">
        <f t="shared" si="45"/>
        <v>#REF!</v>
      </c>
      <c r="N124" s="87" t="e">
        <f t="shared" si="45"/>
        <v>#REF!</v>
      </c>
      <c r="O124" s="87" t="e">
        <f t="shared" si="45"/>
        <v>#REF!</v>
      </c>
      <c r="P124" s="87" t="e">
        <f t="shared" si="45"/>
        <v>#REF!</v>
      </c>
      <c r="Q124" s="87" t="e">
        <f t="shared" si="45"/>
        <v>#REF!</v>
      </c>
    </row>
    <row r="125" spans="2:17" x14ac:dyDescent="0.2">
      <c r="B125" s="60"/>
      <c r="C125" s="65" t="s">
        <v>404</v>
      </c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2"/>
    </row>
    <row r="126" spans="2:17" ht="13.5" thickBot="1" x14ac:dyDescent="0.25">
      <c r="B126" s="66"/>
      <c r="C126" s="67"/>
      <c r="D126" s="57"/>
      <c r="E126" s="57">
        <v>2007</v>
      </c>
      <c r="F126" s="57">
        <v>2008</v>
      </c>
      <c r="G126" s="57">
        <v>2009</v>
      </c>
      <c r="H126" s="57">
        <v>2010</v>
      </c>
      <c r="I126" s="57">
        <v>2011</v>
      </c>
      <c r="J126" s="57">
        <v>2012</v>
      </c>
      <c r="K126" s="57">
        <v>2013</v>
      </c>
      <c r="L126" s="57">
        <v>2014</v>
      </c>
      <c r="M126" s="57">
        <v>2015</v>
      </c>
      <c r="N126" s="57">
        <v>2016</v>
      </c>
      <c r="O126" s="57">
        <v>2017</v>
      </c>
      <c r="P126" s="57">
        <v>2018</v>
      </c>
      <c r="Q126" s="68">
        <v>2019</v>
      </c>
    </row>
    <row r="127" spans="2:17" ht="32.25" thickBot="1" x14ac:dyDescent="0.25">
      <c r="B127" s="60"/>
      <c r="C127" s="49" t="s">
        <v>23</v>
      </c>
      <c r="D127" s="61" t="s">
        <v>517</v>
      </c>
      <c r="E127" s="61" t="e">
        <f>E75+E77</f>
        <v>#REF!</v>
      </c>
      <c r="F127" s="61" t="e">
        <f>F75+F77</f>
        <v>#REF!</v>
      </c>
      <c r="G127" s="61" t="e">
        <f>G75+G77</f>
        <v>#REF!</v>
      </c>
      <c r="H127" s="61" t="e">
        <f>G127*0.99</f>
        <v>#REF!</v>
      </c>
      <c r="I127" s="61" t="e">
        <f>H127*0.99</f>
        <v>#REF!</v>
      </c>
      <c r="J127" s="61" t="e">
        <f t="shared" ref="J127:Q127" si="46">I127*0.99</f>
        <v>#REF!</v>
      </c>
      <c r="K127" s="61" t="e">
        <f t="shared" si="46"/>
        <v>#REF!</v>
      </c>
      <c r="L127" s="61" t="e">
        <f t="shared" si="46"/>
        <v>#REF!</v>
      </c>
      <c r="M127" s="61" t="e">
        <f t="shared" si="46"/>
        <v>#REF!</v>
      </c>
      <c r="N127" s="61" t="e">
        <f t="shared" si="46"/>
        <v>#REF!</v>
      </c>
      <c r="O127" s="61" t="e">
        <f t="shared" si="46"/>
        <v>#REF!</v>
      </c>
      <c r="P127" s="61" t="e">
        <f t="shared" si="46"/>
        <v>#REF!</v>
      </c>
      <c r="Q127" s="61" t="e">
        <f t="shared" si="46"/>
        <v>#REF!</v>
      </c>
    </row>
    <row r="128" spans="2:17" ht="16.5" thickBot="1" x14ac:dyDescent="0.25">
      <c r="B128" s="71"/>
      <c r="C128" s="49"/>
      <c r="D128" s="61"/>
      <c r="E128" s="72"/>
      <c r="F128" s="72"/>
      <c r="G128" s="72" t="e">
        <f>G129/G127</f>
        <v>#REF!</v>
      </c>
      <c r="H128" s="72">
        <v>0.43</v>
      </c>
      <c r="I128" s="77">
        <v>0.48</v>
      </c>
      <c r="J128" s="77">
        <v>0.54200000000000004</v>
      </c>
      <c r="K128" s="77">
        <v>0.61</v>
      </c>
      <c r="L128" s="77">
        <v>0.66710000000000003</v>
      </c>
      <c r="M128" s="77">
        <v>0.96</v>
      </c>
      <c r="N128" s="77">
        <v>1</v>
      </c>
      <c r="O128" s="72" t="e">
        <f>O129/O127</f>
        <v>#REF!</v>
      </c>
      <c r="P128" s="72" t="e">
        <f>P129/P127</f>
        <v>#REF!</v>
      </c>
      <c r="Q128" s="72" t="e">
        <f>Q129/Q127</f>
        <v>#REF!</v>
      </c>
    </row>
    <row r="129" spans="2:18" ht="32.25" thickBot="1" x14ac:dyDescent="0.25">
      <c r="B129" s="71"/>
      <c r="C129" s="49" t="s">
        <v>198</v>
      </c>
      <c r="D129" s="61" t="s">
        <v>517</v>
      </c>
      <c r="E129" s="388" t="e">
        <f>E76+E78</f>
        <v>#REF!</v>
      </c>
      <c r="F129" s="388" t="e">
        <f>F76+F78</f>
        <v>#REF!</v>
      </c>
      <c r="G129" s="388" t="e">
        <f>G76+G78</f>
        <v>#REF!</v>
      </c>
      <c r="H129" s="389" t="e">
        <f t="shared" ref="H129:N129" si="47">H127*H128</f>
        <v>#REF!</v>
      </c>
      <c r="I129" s="389" t="e">
        <f t="shared" si="47"/>
        <v>#REF!</v>
      </c>
      <c r="J129" s="389" t="e">
        <f t="shared" si="47"/>
        <v>#REF!</v>
      </c>
      <c r="K129" s="389" t="e">
        <f t="shared" si="47"/>
        <v>#REF!</v>
      </c>
      <c r="L129" s="389" t="e">
        <f t="shared" si="47"/>
        <v>#REF!</v>
      </c>
      <c r="M129" s="340" t="e">
        <f t="shared" si="47"/>
        <v>#REF!</v>
      </c>
      <c r="N129" s="340" t="e">
        <f t="shared" si="47"/>
        <v>#REF!</v>
      </c>
      <c r="O129" s="339" t="e">
        <f>O127</f>
        <v>#REF!</v>
      </c>
      <c r="P129" s="339" t="e">
        <f>P127</f>
        <v>#REF!</v>
      </c>
      <c r="Q129" s="339" t="e">
        <f>Q127</f>
        <v>#REF!</v>
      </c>
    </row>
    <row r="130" spans="2:18" ht="31.5" x14ac:dyDescent="0.2">
      <c r="B130" s="71"/>
      <c r="C130" s="49" t="s">
        <v>384</v>
      </c>
      <c r="D130" s="61" t="s">
        <v>517</v>
      </c>
      <c r="E130" s="72"/>
      <c r="F130" s="72"/>
      <c r="G130" s="73" t="e">
        <f>G129-$E$129</f>
        <v>#REF!</v>
      </c>
      <c r="H130" s="73" t="e">
        <f>H129-$E$129</f>
        <v>#REF!</v>
      </c>
      <c r="I130" s="73" t="e">
        <f t="shared" ref="I130:Q130" si="48">I129-$E$129</f>
        <v>#REF!</v>
      </c>
      <c r="J130" s="73" t="e">
        <f t="shared" si="48"/>
        <v>#REF!</v>
      </c>
      <c r="K130" s="73" t="e">
        <f t="shared" si="48"/>
        <v>#REF!</v>
      </c>
      <c r="L130" s="73" t="e">
        <f t="shared" si="48"/>
        <v>#REF!</v>
      </c>
      <c r="M130" s="73" t="e">
        <f t="shared" si="48"/>
        <v>#REF!</v>
      </c>
      <c r="N130" s="73" t="e">
        <f t="shared" si="48"/>
        <v>#REF!</v>
      </c>
      <c r="O130" s="73" t="e">
        <f t="shared" si="48"/>
        <v>#REF!</v>
      </c>
      <c r="P130" s="73" t="e">
        <f t="shared" si="48"/>
        <v>#REF!</v>
      </c>
      <c r="Q130" s="73" t="e">
        <f t="shared" si="48"/>
        <v>#REF!</v>
      </c>
    </row>
    <row r="131" spans="2:18" ht="31.5" x14ac:dyDescent="0.2">
      <c r="B131" s="63"/>
      <c r="C131" s="49" t="s">
        <v>446</v>
      </c>
      <c r="D131" s="3" t="s">
        <v>517</v>
      </c>
      <c r="E131" s="3"/>
      <c r="F131" s="3"/>
      <c r="G131" s="69" t="e">
        <f>G130*0.04</f>
        <v>#REF!</v>
      </c>
      <c r="H131" s="69" t="e">
        <f>H130*0.04</f>
        <v>#REF!</v>
      </c>
      <c r="I131" s="69" t="e">
        <f>I130*0.04</f>
        <v>#REF!</v>
      </c>
      <c r="J131" s="69" t="e">
        <f>J130*0.04</f>
        <v>#REF!</v>
      </c>
      <c r="K131" s="69" t="e">
        <f>K130*0.04</f>
        <v>#REF!</v>
      </c>
      <c r="L131" s="69" t="e">
        <f>L130*0.05</f>
        <v>#REF!</v>
      </c>
      <c r="M131" s="69" t="e">
        <f>M130*0.06</f>
        <v>#REF!</v>
      </c>
      <c r="N131" s="69" t="e">
        <f>N130*0.08</f>
        <v>#REF!</v>
      </c>
      <c r="O131" s="69" t="e">
        <f>O130*0.08</f>
        <v>#REF!</v>
      </c>
      <c r="P131" s="69" t="e">
        <f>P130*0.1</f>
        <v>#REF!</v>
      </c>
      <c r="Q131" s="69" t="e">
        <f>Q130*0.1</f>
        <v>#REF!</v>
      </c>
    </row>
    <row r="132" spans="2:18" ht="16.5" thickBot="1" x14ac:dyDescent="0.25">
      <c r="B132" s="64"/>
      <c r="C132" s="274" t="s">
        <v>399</v>
      </c>
      <c r="D132" s="57" t="s">
        <v>509</v>
      </c>
      <c r="E132" s="57"/>
      <c r="F132" s="57"/>
      <c r="G132" s="57"/>
      <c r="H132" s="58" t="e">
        <f t="shared" ref="H132:Q132" si="49">H131*0.143</f>
        <v>#REF!</v>
      </c>
      <c r="I132" s="58" t="e">
        <f t="shared" si="49"/>
        <v>#REF!</v>
      </c>
      <c r="J132" s="58" t="e">
        <f t="shared" si="49"/>
        <v>#REF!</v>
      </c>
      <c r="K132" s="58" t="e">
        <f t="shared" si="49"/>
        <v>#REF!</v>
      </c>
      <c r="L132" s="58" t="e">
        <f t="shared" si="49"/>
        <v>#REF!</v>
      </c>
      <c r="M132" s="58" t="e">
        <f t="shared" si="49"/>
        <v>#REF!</v>
      </c>
      <c r="N132" s="58" t="e">
        <f t="shared" si="49"/>
        <v>#REF!</v>
      </c>
      <c r="O132" s="58" t="e">
        <f t="shared" si="49"/>
        <v>#REF!</v>
      </c>
      <c r="P132" s="58" t="e">
        <f t="shared" si="49"/>
        <v>#REF!</v>
      </c>
      <c r="Q132" s="275" t="e">
        <f t="shared" si="49"/>
        <v>#REF!</v>
      </c>
    </row>
    <row r="133" spans="2:18" ht="31.5" x14ac:dyDescent="0.2">
      <c r="B133" s="224"/>
      <c r="C133" s="276" t="s">
        <v>460</v>
      </c>
      <c r="D133" s="111" t="s">
        <v>517</v>
      </c>
      <c r="E133" s="111"/>
      <c r="F133" s="111"/>
      <c r="G133" s="111"/>
      <c r="H133" s="277" t="e">
        <f>H127-H131</f>
        <v>#REF!</v>
      </c>
      <c r="I133" s="277" t="e">
        <f t="shared" ref="I133:Q133" si="50">I127-I131</f>
        <v>#REF!</v>
      </c>
      <c r="J133" s="277" t="e">
        <f t="shared" si="50"/>
        <v>#REF!</v>
      </c>
      <c r="K133" s="277" t="e">
        <f t="shared" si="50"/>
        <v>#REF!</v>
      </c>
      <c r="L133" s="277" t="e">
        <f t="shared" si="50"/>
        <v>#REF!</v>
      </c>
      <c r="M133" s="390" t="e">
        <f t="shared" si="50"/>
        <v>#REF!</v>
      </c>
      <c r="N133" s="387" t="e">
        <f t="shared" si="50"/>
        <v>#REF!</v>
      </c>
      <c r="O133" s="277" t="e">
        <f t="shared" si="50"/>
        <v>#REF!</v>
      </c>
      <c r="P133" s="277" t="e">
        <f t="shared" si="50"/>
        <v>#REF!</v>
      </c>
      <c r="Q133" s="277" t="e">
        <f t="shared" si="50"/>
        <v>#REF!</v>
      </c>
    </row>
    <row r="134" spans="2:18" ht="16.5" thickBot="1" x14ac:dyDescent="0.25">
      <c r="B134" s="224"/>
      <c r="C134" s="278" t="s">
        <v>564</v>
      </c>
      <c r="D134" s="157" t="s">
        <v>517</v>
      </c>
      <c r="E134" s="176"/>
      <c r="F134" s="176"/>
      <c r="G134" s="176"/>
      <c r="H134" s="279" t="e">
        <f>H131-G131</f>
        <v>#REF!</v>
      </c>
      <c r="I134" s="279" t="e">
        <f>H133-I133</f>
        <v>#REF!</v>
      </c>
      <c r="J134" s="279" t="e">
        <f>I133-J133</f>
        <v>#REF!</v>
      </c>
      <c r="K134" s="279" t="e">
        <f>J133-K133</f>
        <v>#REF!</v>
      </c>
      <c r="L134" s="279" t="e">
        <f>K133-L133</f>
        <v>#REF!</v>
      </c>
      <c r="M134" s="279" t="e">
        <f>L133-M133</f>
        <v>#REF!</v>
      </c>
      <c r="N134" s="279">
        <v>0</v>
      </c>
      <c r="O134" s="279">
        <v>0</v>
      </c>
      <c r="P134" s="279">
        <v>0</v>
      </c>
      <c r="Q134" s="279">
        <v>0</v>
      </c>
    </row>
    <row r="135" spans="2:18" ht="32.25" thickBot="1" x14ac:dyDescent="0.25">
      <c r="B135" s="60"/>
      <c r="C135" s="49" t="s">
        <v>412</v>
      </c>
      <c r="D135" s="72" t="s">
        <v>529</v>
      </c>
      <c r="E135" s="72" t="e">
        <f>E70+E72</f>
        <v>#REF!</v>
      </c>
      <c r="F135" s="72" t="e">
        <f t="shared" ref="F135:Q135" si="51">F70+F72</f>
        <v>#REF!</v>
      </c>
      <c r="G135" s="72" t="e">
        <f t="shared" si="51"/>
        <v>#REF!</v>
      </c>
      <c r="H135" s="72" t="e">
        <f t="shared" si="51"/>
        <v>#REF!</v>
      </c>
      <c r="I135" s="72" t="e">
        <f t="shared" si="51"/>
        <v>#REF!</v>
      </c>
      <c r="J135" s="72" t="e">
        <f t="shared" si="51"/>
        <v>#REF!</v>
      </c>
      <c r="K135" s="72" t="e">
        <f t="shared" si="51"/>
        <v>#REF!</v>
      </c>
      <c r="L135" s="72" t="e">
        <f t="shared" si="51"/>
        <v>#REF!</v>
      </c>
      <c r="M135" s="72" t="e">
        <f t="shared" si="51"/>
        <v>#REF!</v>
      </c>
      <c r="N135" s="72" t="e">
        <f t="shared" si="51"/>
        <v>#REF!</v>
      </c>
      <c r="O135" s="72" t="e">
        <f t="shared" si="51"/>
        <v>#REF!</v>
      </c>
      <c r="P135" s="72" t="e">
        <f t="shared" si="51"/>
        <v>#REF!</v>
      </c>
      <c r="Q135" s="72" t="e">
        <f t="shared" si="51"/>
        <v>#REF!</v>
      </c>
    </row>
    <row r="136" spans="2:18" ht="32.25" thickBot="1" x14ac:dyDescent="0.25">
      <c r="B136" s="71"/>
      <c r="C136" s="49" t="s">
        <v>416</v>
      </c>
      <c r="D136" s="61" t="s">
        <v>529</v>
      </c>
      <c r="E136" s="72" t="e">
        <f>E71+E74</f>
        <v>#REF!</v>
      </c>
      <c r="F136" s="72" t="e">
        <f>F71+F74</f>
        <v>#REF!</v>
      </c>
      <c r="G136" s="72" t="e">
        <f>G71+G74</f>
        <v>#REF!</v>
      </c>
      <c r="H136" s="72" t="e">
        <f>H71+H73+H74</f>
        <v>#REF!</v>
      </c>
      <c r="I136" s="72" t="e">
        <f>I135</f>
        <v>#REF!</v>
      </c>
      <c r="J136" s="72" t="e">
        <f t="shared" ref="J136:Q136" si="52">J135</f>
        <v>#REF!</v>
      </c>
      <c r="K136" s="72" t="e">
        <f t="shared" si="52"/>
        <v>#REF!</v>
      </c>
      <c r="L136" s="72" t="e">
        <f t="shared" si="52"/>
        <v>#REF!</v>
      </c>
      <c r="M136" s="72" t="e">
        <f t="shared" si="52"/>
        <v>#REF!</v>
      </c>
      <c r="N136" s="72" t="e">
        <f t="shared" si="52"/>
        <v>#REF!</v>
      </c>
      <c r="O136" s="72" t="e">
        <f t="shared" si="52"/>
        <v>#REF!</v>
      </c>
      <c r="P136" s="72" t="e">
        <f t="shared" si="52"/>
        <v>#REF!</v>
      </c>
      <c r="Q136" s="72" t="e">
        <f t="shared" si="52"/>
        <v>#REF!</v>
      </c>
    </row>
    <row r="137" spans="2:18" ht="15.75" x14ac:dyDescent="0.2">
      <c r="B137" s="63"/>
      <c r="C137" s="49" t="s">
        <v>396</v>
      </c>
      <c r="D137" s="61" t="s">
        <v>529</v>
      </c>
      <c r="E137" s="3" t="e">
        <f>E135-E136</f>
        <v>#REF!</v>
      </c>
      <c r="F137" s="3" t="e">
        <f t="shared" ref="F137:Q137" si="53">F135-F136</f>
        <v>#REF!</v>
      </c>
      <c r="G137" s="3" t="e">
        <f t="shared" si="53"/>
        <v>#REF!</v>
      </c>
      <c r="H137" s="3" t="e">
        <f t="shared" si="53"/>
        <v>#REF!</v>
      </c>
      <c r="I137" s="3" t="e">
        <f t="shared" si="53"/>
        <v>#REF!</v>
      </c>
      <c r="J137" s="3" t="e">
        <f t="shared" si="53"/>
        <v>#REF!</v>
      </c>
      <c r="K137" s="3" t="e">
        <f t="shared" si="53"/>
        <v>#REF!</v>
      </c>
      <c r="L137" s="3" t="e">
        <f t="shared" si="53"/>
        <v>#REF!</v>
      </c>
      <c r="M137" s="3" t="e">
        <f t="shared" si="53"/>
        <v>#REF!</v>
      </c>
      <c r="N137" s="3" t="e">
        <f t="shared" si="53"/>
        <v>#REF!</v>
      </c>
      <c r="O137" s="3" t="e">
        <f t="shared" si="53"/>
        <v>#REF!</v>
      </c>
      <c r="P137" s="3" t="e">
        <f t="shared" si="53"/>
        <v>#REF!</v>
      </c>
      <c r="Q137" s="3" t="e">
        <f t="shared" si="53"/>
        <v>#REF!</v>
      </c>
    </row>
    <row r="138" spans="2:18" ht="16.5" thickBot="1" x14ac:dyDescent="0.25">
      <c r="B138" s="64"/>
      <c r="C138" s="49" t="s">
        <v>399</v>
      </c>
      <c r="D138" s="24" t="s">
        <v>509</v>
      </c>
      <c r="E138" s="24"/>
      <c r="F138" s="24"/>
      <c r="G138" s="24"/>
      <c r="H138" s="74" t="e">
        <f>H137*0.123/1000</f>
        <v>#REF!</v>
      </c>
      <c r="I138" s="74" t="e">
        <f t="shared" ref="I138:Q138" si="54">I137*0.123/1000</f>
        <v>#REF!</v>
      </c>
      <c r="J138" s="74" t="e">
        <f t="shared" si="54"/>
        <v>#REF!</v>
      </c>
      <c r="K138" s="74" t="e">
        <f t="shared" si="54"/>
        <v>#REF!</v>
      </c>
      <c r="L138" s="74" t="e">
        <f t="shared" si="54"/>
        <v>#REF!</v>
      </c>
      <c r="M138" s="74" t="e">
        <f t="shared" si="54"/>
        <v>#REF!</v>
      </c>
      <c r="N138" s="74" t="e">
        <f t="shared" si="54"/>
        <v>#REF!</v>
      </c>
      <c r="O138" s="74" t="e">
        <f t="shared" si="54"/>
        <v>#REF!</v>
      </c>
      <c r="P138" s="74" t="e">
        <f t="shared" si="54"/>
        <v>#REF!</v>
      </c>
      <c r="Q138" s="74" t="e">
        <f t="shared" si="54"/>
        <v>#REF!</v>
      </c>
    </row>
    <row r="139" spans="2:18" x14ac:dyDescent="0.2">
      <c r="B139" s="224"/>
      <c r="C139" s="225"/>
      <c r="D139" s="124"/>
      <c r="E139" s="124"/>
      <c r="F139" s="124"/>
      <c r="G139" s="124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</row>
    <row r="140" spans="2:18" ht="13.5" thickBot="1" x14ac:dyDescent="0.25">
      <c r="B140" s="224"/>
      <c r="C140" s="225"/>
      <c r="D140" s="124"/>
      <c r="E140" s="124"/>
      <c r="F140" s="124"/>
      <c r="G140" s="124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</row>
    <row r="141" spans="2:18" ht="39" thickBot="1" x14ac:dyDescent="0.25">
      <c r="B141" s="661" t="s">
        <v>599</v>
      </c>
      <c r="C141" s="254" t="s">
        <v>71</v>
      </c>
      <c r="D141" s="293" t="s">
        <v>491</v>
      </c>
      <c r="E141" s="294" t="e">
        <f>E86+E84</f>
        <v>#REF!</v>
      </c>
      <c r="F141" s="61" t="e">
        <f t="shared" ref="F141:Q141" si="55">F86+F84</f>
        <v>#REF!</v>
      </c>
      <c r="G141" s="61" t="e">
        <f t="shared" si="55"/>
        <v>#REF!</v>
      </c>
      <c r="H141" s="61" t="e">
        <f t="shared" si="55"/>
        <v>#REF!</v>
      </c>
      <c r="I141" s="78" t="e">
        <f t="shared" si="55"/>
        <v>#REF!</v>
      </c>
      <c r="J141" s="78" t="e">
        <f t="shared" si="55"/>
        <v>#REF!</v>
      </c>
      <c r="K141" s="78" t="e">
        <f t="shared" si="55"/>
        <v>#REF!</v>
      </c>
      <c r="L141" s="78" t="e">
        <f t="shared" si="55"/>
        <v>#REF!</v>
      </c>
      <c r="M141" s="78" t="e">
        <f t="shared" si="55"/>
        <v>#REF!</v>
      </c>
      <c r="N141" s="78" t="e">
        <f t="shared" si="55"/>
        <v>#REF!</v>
      </c>
      <c r="O141" s="78" t="e">
        <f t="shared" si="55"/>
        <v>#REF!</v>
      </c>
      <c r="P141" s="78" t="e">
        <f t="shared" si="55"/>
        <v>#REF!</v>
      </c>
      <c r="Q141" s="78" t="e">
        <f t="shared" si="55"/>
        <v>#REF!</v>
      </c>
      <c r="R141" t="s">
        <v>76</v>
      </c>
    </row>
    <row r="142" spans="2:18" ht="76.5" x14ac:dyDescent="0.2">
      <c r="B142" s="662"/>
      <c r="C142" s="181" t="s">
        <v>38</v>
      </c>
      <c r="D142" s="293" t="s">
        <v>491</v>
      </c>
      <c r="E142" s="3" t="e">
        <f t="shared" ref="E142:G143" si="56">E147</f>
        <v>#REF!</v>
      </c>
      <c r="F142" s="3" t="e">
        <f t="shared" si="56"/>
        <v>#REF!</v>
      </c>
      <c r="G142" s="3" t="e">
        <f t="shared" si="56"/>
        <v>#REF!</v>
      </c>
      <c r="H142" s="73" t="e">
        <f>G142</f>
        <v>#REF!</v>
      </c>
      <c r="I142" s="73" t="e">
        <f>H142*1.002</f>
        <v>#REF!</v>
      </c>
      <c r="J142" s="73" t="e">
        <f>I142*1.002*0.97</f>
        <v>#REF!</v>
      </c>
      <c r="K142" s="73" t="e">
        <f t="shared" ref="K142:Q142" si="57">J142*0.95*1.002</f>
        <v>#REF!</v>
      </c>
      <c r="L142" s="73" t="e">
        <f t="shared" si="57"/>
        <v>#REF!</v>
      </c>
      <c r="M142" s="73" t="e">
        <f t="shared" si="57"/>
        <v>#REF!</v>
      </c>
      <c r="N142" s="73" t="e">
        <f t="shared" si="57"/>
        <v>#REF!</v>
      </c>
      <c r="O142" s="73" t="e">
        <f t="shared" si="57"/>
        <v>#REF!</v>
      </c>
      <c r="P142" s="73" t="e">
        <f t="shared" si="57"/>
        <v>#REF!</v>
      </c>
      <c r="Q142" s="73" t="e">
        <f t="shared" si="57"/>
        <v>#REF!</v>
      </c>
    </row>
    <row r="143" spans="2:18" ht="25.5" x14ac:dyDescent="0.2">
      <c r="B143" s="662"/>
      <c r="C143" s="322" t="s">
        <v>42</v>
      </c>
      <c r="D143" s="323" t="s">
        <v>491</v>
      </c>
      <c r="E143" s="324" t="e">
        <f t="shared" si="56"/>
        <v>#REF!</v>
      </c>
      <c r="F143" s="325" t="e">
        <f t="shared" si="56"/>
        <v>#REF!</v>
      </c>
      <c r="G143" s="325" t="e">
        <f t="shared" si="56"/>
        <v>#REF!</v>
      </c>
      <c r="H143" s="326" t="e">
        <f>H142*0.7</f>
        <v>#REF!</v>
      </c>
      <c r="I143" s="326" t="e">
        <f>I142*0.7</f>
        <v>#REF!</v>
      </c>
      <c r="J143" s="326" t="e">
        <f>J142*0.8</f>
        <v>#REF!</v>
      </c>
      <c r="K143" s="326" t="e">
        <f>K142*0.89</f>
        <v>#REF!</v>
      </c>
      <c r="L143" s="326" t="e">
        <f>L142*0.98</f>
        <v>#REF!</v>
      </c>
      <c r="M143" s="326" t="e">
        <f>M142</f>
        <v>#REF!</v>
      </c>
      <c r="N143" s="326" t="e">
        <f>N142</f>
        <v>#REF!</v>
      </c>
      <c r="O143" s="326" t="e">
        <f>O142</f>
        <v>#REF!</v>
      </c>
      <c r="P143" s="326" t="e">
        <f>P142</f>
        <v>#REF!</v>
      </c>
      <c r="Q143" s="326" t="e">
        <f>Q142</f>
        <v>#REF!</v>
      </c>
    </row>
    <row r="144" spans="2:18" ht="25.5" x14ac:dyDescent="0.2">
      <c r="B144" s="662"/>
      <c r="C144" s="259" t="s">
        <v>609</v>
      </c>
      <c r="D144" s="295" t="s">
        <v>491</v>
      </c>
      <c r="E144" s="292"/>
      <c r="F144" s="73" t="e">
        <f>(F143-$E$143)*0.1</f>
        <v>#REF!</v>
      </c>
      <c r="G144" s="73" t="e">
        <f>(G143-$E$143)*0.1</f>
        <v>#REF!</v>
      </c>
      <c r="H144" s="73" t="e">
        <f>(H143-$E$143)*0.1</f>
        <v>#REF!</v>
      </c>
      <c r="I144" s="73" t="e">
        <f>(I143-$E$143)*0.1</f>
        <v>#REF!</v>
      </c>
      <c r="J144" s="73" t="e">
        <f>(J143-$E$143)*0.15</f>
        <v>#REF!</v>
      </c>
      <c r="K144" s="73" t="e">
        <f>(K143-$E$143)*0.15</f>
        <v>#REF!</v>
      </c>
      <c r="L144" s="73" t="e">
        <f>(L143-$E$143)*0.15</f>
        <v>#REF!</v>
      </c>
      <c r="M144" s="73" t="e">
        <f>(M143-$E$143)*0.16</f>
        <v>#REF!</v>
      </c>
      <c r="N144" s="73" t="e">
        <f>(N143-$E$143)*0.15</f>
        <v>#REF!</v>
      </c>
      <c r="O144" s="73" t="e">
        <f>(O143-$E$143)*0.15</f>
        <v>#REF!</v>
      </c>
      <c r="P144" s="73" t="e">
        <f>(P143-$E$143)*0.15</f>
        <v>#REF!</v>
      </c>
      <c r="Q144" s="73" t="e">
        <f>(Q143-$E$143)*0.15</f>
        <v>#REF!</v>
      </c>
    </row>
    <row r="145" spans="2:17" ht="38.25" x14ac:dyDescent="0.2">
      <c r="B145" s="662"/>
      <c r="C145" s="261" t="s">
        <v>610</v>
      </c>
      <c r="D145" s="111" t="s">
        <v>491</v>
      </c>
      <c r="E145" s="291"/>
      <c r="F145" s="291"/>
      <c r="G145" s="291"/>
      <c r="H145" s="291" t="e">
        <f t="shared" ref="H145:M145" si="58">H144-G144</f>
        <v>#REF!</v>
      </c>
      <c r="I145" s="291" t="e">
        <f t="shared" si="58"/>
        <v>#REF!</v>
      </c>
      <c r="J145" s="291" t="e">
        <f t="shared" si="58"/>
        <v>#REF!</v>
      </c>
      <c r="K145" s="291" t="e">
        <f t="shared" si="58"/>
        <v>#REF!</v>
      </c>
      <c r="L145" s="291" t="e">
        <f t="shared" si="58"/>
        <v>#REF!</v>
      </c>
      <c r="M145" s="291" t="e">
        <f t="shared" si="58"/>
        <v>#REF!</v>
      </c>
      <c r="N145" s="291">
        <v>0</v>
      </c>
      <c r="O145" s="291">
        <v>0</v>
      </c>
      <c r="P145" s="291">
        <v>0</v>
      </c>
      <c r="Q145" s="291">
        <v>0</v>
      </c>
    </row>
    <row r="146" spans="2:17" ht="63.75" x14ac:dyDescent="0.2">
      <c r="B146" s="662"/>
      <c r="C146" s="200" t="s">
        <v>39</v>
      </c>
      <c r="D146" s="266" t="s">
        <v>491</v>
      </c>
      <c r="E146" s="176" t="e">
        <f>E142</f>
        <v>#REF!</v>
      </c>
      <c r="F146" s="176" t="e">
        <f>F142</f>
        <v>#REF!</v>
      </c>
      <c r="G146" s="176" t="e">
        <f>G142</f>
        <v>#REF!</v>
      </c>
      <c r="H146" s="312" t="e">
        <f t="shared" ref="H146:Q146" si="59">H142-H144</f>
        <v>#REF!</v>
      </c>
      <c r="I146" s="312" t="e">
        <f t="shared" si="59"/>
        <v>#REF!</v>
      </c>
      <c r="J146" s="312" t="e">
        <f t="shared" si="59"/>
        <v>#REF!</v>
      </c>
      <c r="K146" s="312" t="e">
        <f t="shared" si="59"/>
        <v>#REF!</v>
      </c>
      <c r="L146" s="312" t="e">
        <f t="shared" si="59"/>
        <v>#REF!</v>
      </c>
      <c r="M146" s="316" t="e">
        <f t="shared" si="59"/>
        <v>#REF!</v>
      </c>
      <c r="N146" s="312" t="e">
        <f t="shared" si="59"/>
        <v>#REF!</v>
      </c>
      <c r="O146" s="312" t="e">
        <f t="shared" si="59"/>
        <v>#REF!</v>
      </c>
      <c r="P146" s="312" t="e">
        <f t="shared" si="59"/>
        <v>#REF!</v>
      </c>
      <c r="Q146" s="312" t="e">
        <f t="shared" si="59"/>
        <v>#REF!</v>
      </c>
    </row>
    <row r="147" spans="2:17" ht="63.75" x14ac:dyDescent="0.2">
      <c r="B147" s="662"/>
      <c r="C147" s="317" t="s">
        <v>41</v>
      </c>
      <c r="D147" s="318" t="s">
        <v>491</v>
      </c>
      <c r="E147" s="319" t="e">
        <f>E84</f>
        <v>#REF!</v>
      </c>
      <c r="F147" s="320" t="e">
        <f>F84</f>
        <v>#REF!</v>
      </c>
      <c r="G147" s="320" t="e">
        <f>$G$84</f>
        <v>#REF!</v>
      </c>
      <c r="H147" s="321" t="e">
        <f>H146+('тэр районы'!S20/3)*0.5</f>
        <v>#REF!</v>
      </c>
      <c r="I147" s="321" t="e">
        <f>I146+(('тэр районы'!S20/3)*0.7)</f>
        <v>#REF!</v>
      </c>
      <c r="J147" s="321" t="e">
        <f>J146+('тэр районы'!$S$20)*0.2</f>
        <v>#REF!</v>
      </c>
      <c r="K147" s="321" t="e">
        <f>K146+('тэр районы'!$S$20)*0.38</f>
        <v>#REF!</v>
      </c>
      <c r="L147" s="321" t="e">
        <f>L146+('тэр районы'!$S$20)*0.62</f>
        <v>#REF!</v>
      </c>
      <c r="M147" s="321" t="e">
        <f>M146+('тэр районы'!$S$20)</f>
        <v>#REF!</v>
      </c>
      <c r="N147" s="321" t="e">
        <f>N146+('тэр районы'!$S$20)</f>
        <v>#REF!</v>
      </c>
      <c r="O147" s="321" t="e">
        <f>O146+('тэр районы'!$S$20)</f>
        <v>#REF!</v>
      </c>
      <c r="P147" s="321" t="e">
        <f>P146+('тэр районы'!$S$20)</f>
        <v>#REF!</v>
      </c>
      <c r="Q147" s="321" t="e">
        <f>Q146+('тэр районы'!$S$20)</f>
        <v>#REF!</v>
      </c>
    </row>
    <row r="148" spans="2:17" ht="25.5" x14ac:dyDescent="0.2">
      <c r="B148" s="662"/>
      <c r="C148" s="327" t="s">
        <v>40</v>
      </c>
      <c r="D148" s="327" t="s">
        <v>491</v>
      </c>
      <c r="E148" s="333" t="e">
        <f>E85</f>
        <v>#REF!</v>
      </c>
      <c r="F148" s="333" t="e">
        <f>F85</f>
        <v>#REF!</v>
      </c>
      <c r="G148" s="333" t="e">
        <f>G85</f>
        <v>#REF!</v>
      </c>
      <c r="H148" s="334" t="e">
        <f>H147*0.7</f>
        <v>#REF!</v>
      </c>
      <c r="I148" s="334" t="e">
        <f>I147*0.78</f>
        <v>#REF!</v>
      </c>
      <c r="J148" s="334" t="e">
        <f>J147</f>
        <v>#REF!</v>
      </c>
      <c r="K148" s="334" t="e">
        <f t="shared" ref="K148:Q148" si="60">K147</f>
        <v>#REF!</v>
      </c>
      <c r="L148" s="334" t="e">
        <f t="shared" si="60"/>
        <v>#REF!</v>
      </c>
      <c r="M148" s="334" t="e">
        <f t="shared" si="60"/>
        <v>#REF!</v>
      </c>
      <c r="N148" s="334" t="e">
        <f t="shared" si="60"/>
        <v>#REF!</v>
      </c>
      <c r="O148" s="334" t="e">
        <f t="shared" si="60"/>
        <v>#REF!</v>
      </c>
      <c r="P148" s="334" t="e">
        <f t="shared" si="60"/>
        <v>#REF!</v>
      </c>
      <c r="Q148" s="334" t="e">
        <f t="shared" si="60"/>
        <v>#REF!</v>
      </c>
    </row>
    <row r="149" spans="2:17" ht="38.25" x14ac:dyDescent="0.2">
      <c r="B149" s="662"/>
      <c r="C149" s="259" t="s">
        <v>611</v>
      </c>
      <c r="D149" s="181" t="s">
        <v>491</v>
      </c>
      <c r="E149" s="72" t="e">
        <f>(E148-$E$148)*0.15</f>
        <v>#REF!</v>
      </c>
      <c r="F149" s="77" t="e">
        <f>(F148-$E$148)*0.1</f>
        <v>#REF!</v>
      </c>
      <c r="G149" s="77" t="e">
        <f t="shared" ref="G149:P149" si="61">(G148-$E$148)*0.1</f>
        <v>#REF!</v>
      </c>
      <c r="H149" s="77" t="e">
        <f t="shared" si="61"/>
        <v>#REF!</v>
      </c>
      <c r="I149" s="77" t="e">
        <f t="shared" si="61"/>
        <v>#REF!</v>
      </c>
      <c r="J149" s="77" t="e">
        <f t="shared" si="61"/>
        <v>#REF!</v>
      </c>
      <c r="K149" s="77" t="e">
        <f t="shared" si="61"/>
        <v>#REF!</v>
      </c>
      <c r="L149" s="77" t="e">
        <f t="shared" si="61"/>
        <v>#REF!</v>
      </c>
      <c r="M149" s="77" t="e">
        <f t="shared" si="61"/>
        <v>#REF!</v>
      </c>
      <c r="N149" s="77" t="e">
        <f t="shared" si="61"/>
        <v>#REF!</v>
      </c>
      <c r="O149" s="77" t="e">
        <f t="shared" si="61"/>
        <v>#REF!</v>
      </c>
      <c r="P149" s="77" t="e">
        <f t="shared" si="61"/>
        <v>#REF!</v>
      </c>
      <c r="Q149" s="77" t="e">
        <f>(Q148-$E$148)*0.1</f>
        <v>#REF!</v>
      </c>
    </row>
    <row r="150" spans="2:17" s="298" customFormat="1" x14ac:dyDescent="0.2">
      <c r="B150" s="662"/>
    </row>
    <row r="151" spans="2:17" ht="26.25" thickBot="1" x14ac:dyDescent="0.25">
      <c r="B151" s="662"/>
      <c r="C151" s="261" t="s">
        <v>235</v>
      </c>
      <c r="D151" s="261" t="s">
        <v>509</v>
      </c>
      <c r="E151" s="267"/>
      <c r="F151" s="267"/>
      <c r="G151" s="268"/>
      <c r="H151" s="268" t="e">
        <f>H144*1.137</f>
        <v>#REF!</v>
      </c>
      <c r="I151" s="268" t="e">
        <f t="shared" ref="I151:Q151" si="62">I144*1.137</f>
        <v>#REF!</v>
      </c>
      <c r="J151" s="268" t="e">
        <f t="shared" si="62"/>
        <v>#REF!</v>
      </c>
      <c r="K151" s="268" t="e">
        <f t="shared" si="62"/>
        <v>#REF!</v>
      </c>
      <c r="L151" s="268" t="e">
        <f t="shared" si="62"/>
        <v>#REF!</v>
      </c>
      <c r="M151" s="268" t="e">
        <f t="shared" si="62"/>
        <v>#REF!</v>
      </c>
      <c r="N151" s="268" t="e">
        <f t="shared" si="62"/>
        <v>#REF!</v>
      </c>
      <c r="O151" s="268" t="e">
        <f t="shared" si="62"/>
        <v>#REF!</v>
      </c>
      <c r="P151" s="268" t="e">
        <f t="shared" si="62"/>
        <v>#REF!</v>
      </c>
      <c r="Q151" s="268" t="e">
        <f t="shared" si="62"/>
        <v>#REF!</v>
      </c>
    </row>
    <row r="152" spans="2:17" ht="51.75" thickBot="1" x14ac:dyDescent="0.25">
      <c r="B152" s="663"/>
      <c r="C152" s="328" t="s">
        <v>43</v>
      </c>
      <c r="D152" s="329" t="s">
        <v>491</v>
      </c>
      <c r="E152" s="330" t="e">
        <f>E147</f>
        <v>#REF!</v>
      </c>
      <c r="F152" s="330" t="e">
        <f t="shared" ref="F152:Q152" si="63">F147</f>
        <v>#REF!</v>
      </c>
      <c r="G152" s="330" t="e">
        <f t="shared" si="63"/>
        <v>#REF!</v>
      </c>
      <c r="H152" s="330" t="e">
        <f t="shared" si="63"/>
        <v>#REF!</v>
      </c>
      <c r="I152" s="330" t="e">
        <f t="shared" si="63"/>
        <v>#REF!</v>
      </c>
      <c r="J152" s="330" t="e">
        <f t="shared" si="63"/>
        <v>#REF!</v>
      </c>
      <c r="K152" s="330" t="e">
        <f t="shared" si="63"/>
        <v>#REF!</v>
      </c>
      <c r="L152" s="330" t="e">
        <f t="shared" si="63"/>
        <v>#REF!</v>
      </c>
      <c r="M152" s="330" t="e">
        <f t="shared" si="63"/>
        <v>#REF!</v>
      </c>
      <c r="N152" s="330" t="e">
        <f t="shared" si="63"/>
        <v>#REF!</v>
      </c>
      <c r="O152" s="330" t="e">
        <f t="shared" si="63"/>
        <v>#REF!</v>
      </c>
      <c r="P152" s="330" t="e">
        <f t="shared" si="63"/>
        <v>#REF!</v>
      </c>
      <c r="Q152" s="330" t="e">
        <f t="shared" si="63"/>
        <v>#REF!</v>
      </c>
    </row>
    <row r="153" spans="2:17" ht="13.5" thickBot="1" x14ac:dyDescent="0.25">
      <c r="B153" s="260"/>
    </row>
    <row r="154" spans="2:17" ht="38.25" x14ac:dyDescent="0.2">
      <c r="B154" s="664" t="s">
        <v>600</v>
      </c>
      <c r="C154" s="301" t="s">
        <v>73</v>
      </c>
      <c r="D154" s="302" t="s">
        <v>491</v>
      </c>
      <c r="E154" s="303" t="e">
        <f t="shared" ref="E154:G155" si="64">E86</f>
        <v>#REF!</v>
      </c>
      <c r="F154" s="303" t="e">
        <f t="shared" si="64"/>
        <v>#REF!</v>
      </c>
      <c r="G154" s="303" t="e">
        <f t="shared" si="64"/>
        <v>#REF!</v>
      </c>
      <c r="H154" s="341" t="e">
        <f>G154</f>
        <v>#REF!</v>
      </c>
      <c r="I154" s="341" t="e">
        <f>H154*1.014*0.96</f>
        <v>#REF!</v>
      </c>
      <c r="J154" s="341" t="e">
        <f>I154*0.98</f>
        <v>#REF!</v>
      </c>
      <c r="K154" s="341" t="e">
        <f>J154*0.98</f>
        <v>#REF!</v>
      </c>
      <c r="L154" s="341" t="e">
        <f>K154*0.97</f>
        <v>#REF!</v>
      </c>
      <c r="M154" s="341" t="e">
        <f>L154*0.95</f>
        <v>#REF!</v>
      </c>
      <c r="N154" s="341" t="e">
        <f>M154*0.97</f>
        <v>#REF!</v>
      </c>
      <c r="O154" s="341" t="e">
        <f>N154*0.97</f>
        <v>#REF!</v>
      </c>
      <c r="P154" s="341" t="e">
        <f>O154*0.97</f>
        <v>#REF!</v>
      </c>
      <c r="Q154" s="341" t="e">
        <f>P154*0.97</f>
        <v>#REF!</v>
      </c>
    </row>
    <row r="155" spans="2:17" ht="38.25" x14ac:dyDescent="0.2">
      <c r="B155" s="665"/>
      <c r="C155" s="338" t="s">
        <v>434</v>
      </c>
      <c r="D155" s="181" t="s">
        <v>491</v>
      </c>
      <c r="E155" s="335" t="e">
        <f t="shared" si="64"/>
        <v>#REF!</v>
      </c>
      <c r="F155" s="335" t="e">
        <f t="shared" si="64"/>
        <v>#REF!</v>
      </c>
      <c r="G155" s="335" t="e">
        <f t="shared" si="64"/>
        <v>#REF!</v>
      </c>
      <c r="H155" s="336" t="e">
        <f>H154*0.43</f>
        <v>#REF!</v>
      </c>
      <c r="I155" s="336" t="e">
        <f>I154*0.8</f>
        <v>#REF!</v>
      </c>
      <c r="J155" s="76" t="e">
        <f>J154</f>
        <v>#REF!</v>
      </c>
      <c r="K155" s="76" t="e">
        <f t="shared" ref="K155:Q155" si="65">K154</f>
        <v>#REF!</v>
      </c>
      <c r="L155" s="76" t="e">
        <f t="shared" si="65"/>
        <v>#REF!</v>
      </c>
      <c r="M155" s="76" t="e">
        <f t="shared" si="65"/>
        <v>#REF!</v>
      </c>
      <c r="N155" s="76" t="e">
        <f t="shared" si="65"/>
        <v>#REF!</v>
      </c>
      <c r="O155" s="76" t="e">
        <f t="shared" si="65"/>
        <v>#REF!</v>
      </c>
      <c r="P155" s="76" t="e">
        <f t="shared" si="65"/>
        <v>#REF!</v>
      </c>
      <c r="Q155" s="304" t="e">
        <f t="shared" si="65"/>
        <v>#REF!</v>
      </c>
    </row>
    <row r="156" spans="2:17" x14ac:dyDescent="0.2">
      <c r="B156" s="665"/>
      <c r="C156" s="305" t="s">
        <v>386</v>
      </c>
      <c r="D156" s="181" t="s">
        <v>491</v>
      </c>
      <c r="E156" s="69" t="e">
        <f>(E155-$E$155)*0.15</f>
        <v>#REF!</v>
      </c>
      <c r="F156" s="104">
        <v>0</v>
      </c>
      <c r="G156" s="104" t="e">
        <f>(G155-F155)*0.1</f>
        <v>#REF!</v>
      </c>
      <c r="H156" s="104" t="e">
        <f>(H155-$E$155)*0.1</f>
        <v>#REF!</v>
      </c>
      <c r="I156" s="104" t="e">
        <f t="shared" ref="I156:Q156" si="66">(I155-$E$155)*0.1</f>
        <v>#REF!</v>
      </c>
      <c r="J156" s="104" t="e">
        <f t="shared" si="66"/>
        <v>#REF!</v>
      </c>
      <c r="K156" s="104" t="e">
        <f t="shared" si="66"/>
        <v>#REF!</v>
      </c>
      <c r="L156" s="104" t="e">
        <f t="shared" si="66"/>
        <v>#REF!</v>
      </c>
      <c r="M156" s="104" t="e">
        <f t="shared" si="66"/>
        <v>#REF!</v>
      </c>
      <c r="N156" s="104" t="e">
        <f t="shared" si="66"/>
        <v>#REF!</v>
      </c>
      <c r="O156" s="104" t="e">
        <f t="shared" si="66"/>
        <v>#REF!</v>
      </c>
      <c r="P156" s="104" t="e">
        <f t="shared" si="66"/>
        <v>#REF!</v>
      </c>
      <c r="Q156" s="104" t="e">
        <f t="shared" si="66"/>
        <v>#REF!</v>
      </c>
    </row>
    <row r="157" spans="2:17" x14ac:dyDescent="0.2">
      <c r="B157" s="665"/>
      <c r="C157" s="306" t="s">
        <v>62</v>
      </c>
      <c r="D157" s="266"/>
      <c r="E157" s="178"/>
      <c r="F157" s="178"/>
      <c r="G157" s="178"/>
      <c r="H157" s="178" t="e">
        <f>H156-G156</f>
        <v>#REF!</v>
      </c>
      <c r="I157" s="178" t="e">
        <f>I156-H156</f>
        <v>#REF!</v>
      </c>
      <c r="J157" s="178" t="e">
        <f>J156-I156</f>
        <v>#REF!</v>
      </c>
      <c r="K157" s="178">
        <v>0</v>
      </c>
      <c r="L157" s="178">
        <v>0</v>
      </c>
      <c r="M157" s="178">
        <v>0</v>
      </c>
      <c r="N157" s="178">
        <v>0</v>
      </c>
      <c r="O157" s="178">
        <v>0</v>
      </c>
      <c r="P157" s="178">
        <v>0</v>
      </c>
      <c r="Q157" s="307">
        <v>0</v>
      </c>
    </row>
    <row r="158" spans="2:17" ht="26.25" thickBot="1" x14ac:dyDescent="0.25">
      <c r="B158" s="665"/>
      <c r="C158" s="308" t="s">
        <v>265</v>
      </c>
      <c r="D158" s="309" t="s">
        <v>491</v>
      </c>
      <c r="E158" s="310" t="e">
        <f>E156+E149</f>
        <v>#REF!</v>
      </c>
      <c r="F158" s="310" t="e">
        <f>F156+F144</f>
        <v>#REF!</v>
      </c>
      <c r="G158" s="310" t="e">
        <f>G156+G144</f>
        <v>#REF!</v>
      </c>
      <c r="H158" s="310" t="e">
        <f>H156+H144</f>
        <v>#REF!</v>
      </c>
      <c r="I158" s="310" t="e">
        <f t="shared" ref="I158:Q158" si="67">I156+I144</f>
        <v>#REF!</v>
      </c>
      <c r="J158" s="310" t="e">
        <f t="shared" si="67"/>
        <v>#REF!</v>
      </c>
      <c r="K158" s="310" t="e">
        <f t="shared" si="67"/>
        <v>#REF!</v>
      </c>
      <c r="L158" s="310" t="e">
        <f t="shared" si="67"/>
        <v>#REF!</v>
      </c>
      <c r="M158" s="310" t="e">
        <f t="shared" si="67"/>
        <v>#REF!</v>
      </c>
      <c r="N158" s="310" t="e">
        <f t="shared" si="67"/>
        <v>#REF!</v>
      </c>
      <c r="O158" s="310" t="e">
        <f t="shared" si="67"/>
        <v>#REF!</v>
      </c>
      <c r="P158" s="310" t="e">
        <f t="shared" si="67"/>
        <v>#REF!</v>
      </c>
      <c r="Q158" s="311" t="e">
        <f t="shared" si="67"/>
        <v>#REF!</v>
      </c>
    </row>
    <row r="159" spans="2:17" x14ac:dyDescent="0.2">
      <c r="B159" s="666"/>
      <c r="C159" s="265" t="s">
        <v>77</v>
      </c>
      <c r="D159" s="264" t="s">
        <v>491</v>
      </c>
      <c r="E159" s="299"/>
      <c r="F159" s="299"/>
      <c r="G159" s="299"/>
      <c r="H159" s="300" t="e">
        <f>H157+H145</f>
        <v>#REF!</v>
      </c>
      <c r="I159" s="300" t="e">
        <f>I157+I145</f>
        <v>#REF!</v>
      </c>
      <c r="J159" s="300" t="e">
        <f>J157+J145</f>
        <v>#REF!</v>
      </c>
      <c r="K159" s="300" t="e">
        <f t="shared" ref="K159:Q159" si="68">(J160-K160)+K145</f>
        <v>#REF!</v>
      </c>
      <c r="L159" s="300" t="e">
        <f t="shared" si="68"/>
        <v>#REF!</v>
      </c>
      <c r="M159" s="300" t="e">
        <f t="shared" si="68"/>
        <v>#REF!</v>
      </c>
      <c r="N159" s="300" t="e">
        <f t="shared" si="68"/>
        <v>#REF!</v>
      </c>
      <c r="O159" s="300" t="e">
        <f t="shared" si="68"/>
        <v>#REF!</v>
      </c>
      <c r="P159" s="300" t="e">
        <f t="shared" si="68"/>
        <v>#REF!</v>
      </c>
      <c r="Q159" s="300" t="e">
        <f t="shared" si="68"/>
        <v>#REF!</v>
      </c>
    </row>
    <row r="160" spans="2:17" s="298" customFormat="1" ht="38.25" x14ac:dyDescent="0.2">
      <c r="B160" s="667"/>
      <c r="C160" s="297" t="s">
        <v>72</v>
      </c>
      <c r="D160" s="313" t="s">
        <v>491</v>
      </c>
      <c r="E160" s="314" t="e">
        <f>E154-E156</f>
        <v>#REF!</v>
      </c>
      <c r="F160" s="314" t="e">
        <f>F154-F156</f>
        <v>#REF!</v>
      </c>
      <c r="G160" s="314" t="e">
        <f>G154-G156</f>
        <v>#REF!</v>
      </c>
      <c r="H160" s="314" t="e">
        <f>H154-H156</f>
        <v>#REF!</v>
      </c>
      <c r="I160" s="314" t="e">
        <f t="shared" ref="I160:Q160" si="69">I154-I156</f>
        <v>#REF!</v>
      </c>
      <c r="J160" s="337" t="e">
        <f t="shared" si="69"/>
        <v>#REF!</v>
      </c>
      <c r="K160" s="337" t="e">
        <f t="shared" si="69"/>
        <v>#REF!</v>
      </c>
      <c r="L160" s="337" t="e">
        <f t="shared" si="69"/>
        <v>#REF!</v>
      </c>
      <c r="M160" s="337" t="e">
        <f t="shared" si="69"/>
        <v>#REF!</v>
      </c>
      <c r="N160" s="337" t="e">
        <f t="shared" si="69"/>
        <v>#REF!</v>
      </c>
      <c r="O160" s="337" t="e">
        <f t="shared" si="69"/>
        <v>#REF!</v>
      </c>
      <c r="P160" s="337" t="e">
        <f t="shared" si="69"/>
        <v>#REF!</v>
      </c>
      <c r="Q160" s="337" t="e">
        <f t="shared" si="69"/>
        <v>#REF!</v>
      </c>
    </row>
    <row r="161" spans="2:17" s="298" customFormat="1" ht="38.25" x14ac:dyDescent="0.2">
      <c r="B161" s="296"/>
      <c r="C161" s="297" t="s">
        <v>194</v>
      </c>
      <c r="D161" s="313" t="s">
        <v>491</v>
      </c>
      <c r="E161" s="315" t="e">
        <f>E141</f>
        <v>#REF!</v>
      </c>
      <c r="F161" s="315" t="e">
        <f>F141</f>
        <v>#REF!</v>
      </c>
      <c r="G161" s="315" t="e">
        <f>G141</f>
        <v>#REF!</v>
      </c>
      <c r="H161" s="315" t="e">
        <f>H160+H152</f>
        <v>#REF!</v>
      </c>
      <c r="I161" s="315" t="e">
        <f t="shared" ref="I161:Q161" si="70">I160+I152</f>
        <v>#REF!</v>
      </c>
      <c r="J161" s="315" t="e">
        <f t="shared" si="70"/>
        <v>#REF!</v>
      </c>
      <c r="K161" s="315" t="e">
        <f t="shared" si="70"/>
        <v>#REF!</v>
      </c>
      <c r="L161" s="315" t="e">
        <f t="shared" si="70"/>
        <v>#REF!</v>
      </c>
      <c r="M161" s="315" t="e">
        <f t="shared" si="70"/>
        <v>#REF!</v>
      </c>
      <c r="N161" s="315" t="e">
        <f t="shared" si="70"/>
        <v>#REF!</v>
      </c>
      <c r="O161" s="315" t="e">
        <f t="shared" si="70"/>
        <v>#REF!</v>
      </c>
      <c r="P161" s="315" t="e">
        <f t="shared" si="70"/>
        <v>#REF!</v>
      </c>
      <c r="Q161" s="315" t="e">
        <f t="shared" si="70"/>
        <v>#REF!</v>
      </c>
    </row>
    <row r="162" spans="2:17" x14ac:dyDescent="0.2">
      <c r="B162" s="255"/>
      <c r="C162" s="262"/>
      <c r="D162" s="177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263"/>
    </row>
    <row r="163" spans="2:17" ht="13.5" thickBot="1" x14ac:dyDescent="0.25">
      <c r="B163" s="64"/>
      <c r="C163" s="272" t="s">
        <v>70</v>
      </c>
      <c r="D163" s="269" t="s">
        <v>509</v>
      </c>
      <c r="E163" s="269"/>
      <c r="F163" s="269"/>
      <c r="G163" s="269"/>
      <c r="H163" s="270" t="e">
        <f t="shared" ref="H163:Q163" si="71">H156*1.137</f>
        <v>#REF!</v>
      </c>
      <c r="I163" s="270" t="e">
        <f t="shared" si="71"/>
        <v>#REF!</v>
      </c>
      <c r="J163" s="270" t="e">
        <f t="shared" si="71"/>
        <v>#REF!</v>
      </c>
      <c r="K163" s="270" t="e">
        <f t="shared" si="71"/>
        <v>#REF!</v>
      </c>
      <c r="L163" s="270" t="e">
        <f t="shared" si="71"/>
        <v>#REF!</v>
      </c>
      <c r="M163" s="270" t="e">
        <f t="shared" si="71"/>
        <v>#REF!</v>
      </c>
      <c r="N163" s="270" t="e">
        <f t="shared" si="71"/>
        <v>#REF!</v>
      </c>
      <c r="O163" s="270" t="e">
        <f t="shared" si="71"/>
        <v>#REF!</v>
      </c>
      <c r="P163" s="270" t="e">
        <f t="shared" si="71"/>
        <v>#REF!</v>
      </c>
      <c r="Q163" s="271" t="e">
        <f t="shared" si="71"/>
        <v>#REF!</v>
      </c>
    </row>
    <row r="164" spans="2:17" ht="13.5" thickBot="1" x14ac:dyDescent="0.25">
      <c r="B164" s="224"/>
      <c r="C164" s="273" t="s">
        <v>403</v>
      </c>
      <c r="D164" s="59"/>
      <c r="E164" s="59"/>
      <c r="F164" s="59"/>
      <c r="G164" s="59"/>
      <c r="H164" s="228" t="e">
        <f t="shared" ref="H164:Q164" si="72">H132+H138+H151+H163</f>
        <v>#REF!</v>
      </c>
      <c r="I164" s="228" t="e">
        <f t="shared" si="72"/>
        <v>#REF!</v>
      </c>
      <c r="J164" s="228" t="e">
        <f t="shared" si="72"/>
        <v>#REF!</v>
      </c>
      <c r="K164" s="228" t="e">
        <f t="shared" si="72"/>
        <v>#REF!</v>
      </c>
      <c r="L164" s="228" t="e">
        <f t="shared" si="72"/>
        <v>#REF!</v>
      </c>
      <c r="M164" s="228" t="e">
        <f t="shared" si="72"/>
        <v>#REF!</v>
      </c>
      <c r="N164" s="228" t="e">
        <f t="shared" si="72"/>
        <v>#REF!</v>
      </c>
      <c r="O164" s="228" t="e">
        <f t="shared" si="72"/>
        <v>#REF!</v>
      </c>
      <c r="P164" s="228" t="e">
        <f t="shared" si="72"/>
        <v>#REF!</v>
      </c>
      <c r="Q164" s="229" t="e">
        <f t="shared" si="72"/>
        <v>#REF!</v>
      </c>
    </row>
    <row r="165" spans="2:17" x14ac:dyDescent="0.2">
      <c r="B165" s="224"/>
      <c r="C165" s="225"/>
      <c r="D165" s="91"/>
      <c r="E165" s="124"/>
      <c r="F165" s="124"/>
      <c r="G165" s="124"/>
      <c r="H165" s="159"/>
      <c r="I165" s="159"/>
      <c r="J165" s="159"/>
      <c r="K165" s="159"/>
      <c r="L165" s="159"/>
      <c r="M165" s="159"/>
      <c r="N165" s="159"/>
      <c r="O165" s="159"/>
      <c r="P165" s="159"/>
      <c r="Q165" s="226"/>
    </row>
    <row r="166" spans="2:17" x14ac:dyDescent="0.2">
      <c r="B166" s="224"/>
      <c r="C166" s="225"/>
      <c r="D166" s="91"/>
      <c r="E166" s="124"/>
      <c r="F166" s="124"/>
      <c r="G166" s="124"/>
      <c r="H166" s="159"/>
      <c r="I166" s="159"/>
      <c r="J166" s="159"/>
      <c r="K166" s="159"/>
      <c r="L166" s="159"/>
      <c r="M166" s="159"/>
      <c r="N166" s="159"/>
      <c r="O166" s="159"/>
      <c r="P166" s="159"/>
      <c r="Q166" s="226"/>
    </row>
    <row r="167" spans="2:17" ht="13.5" thickBot="1" x14ac:dyDescent="0.25">
      <c r="B167" s="224"/>
      <c r="C167" s="225"/>
      <c r="D167" s="91"/>
      <c r="E167" s="124"/>
      <c r="F167" s="124"/>
      <c r="G167" s="124"/>
      <c r="H167" s="159"/>
      <c r="I167" s="159"/>
      <c r="J167" s="159"/>
      <c r="K167" s="159"/>
      <c r="L167" s="159"/>
      <c r="M167" s="159"/>
      <c r="N167" s="159"/>
      <c r="O167" s="159"/>
      <c r="P167" s="159"/>
      <c r="Q167" s="226"/>
    </row>
    <row r="168" spans="2:17" ht="26.25" thickBot="1" x14ac:dyDescent="0.25">
      <c r="B168" s="173"/>
      <c r="C168" s="75" t="s">
        <v>24</v>
      </c>
      <c r="D168" s="166" t="s">
        <v>559</v>
      </c>
      <c r="E168" s="61" t="e">
        <f>E169+E173</f>
        <v>#REF!</v>
      </c>
      <c r="F168" s="61" t="e">
        <f t="shared" ref="F168:Q168" si="73">F169+F173</f>
        <v>#REF!</v>
      </c>
      <c r="G168" s="61" t="e">
        <f t="shared" si="73"/>
        <v>#REF!</v>
      </c>
      <c r="H168" s="61" t="e">
        <f t="shared" si="73"/>
        <v>#REF!</v>
      </c>
      <c r="I168" s="61" t="e">
        <f t="shared" si="73"/>
        <v>#REF!</v>
      </c>
      <c r="J168" s="61" t="e">
        <f t="shared" si="73"/>
        <v>#REF!</v>
      </c>
      <c r="K168" s="61" t="e">
        <f t="shared" si="73"/>
        <v>#REF!</v>
      </c>
      <c r="L168" s="61" t="e">
        <f t="shared" si="73"/>
        <v>#REF!</v>
      </c>
      <c r="M168" s="61" t="e">
        <f t="shared" si="73"/>
        <v>#REF!</v>
      </c>
      <c r="N168" s="61" t="e">
        <f t="shared" si="73"/>
        <v>#REF!</v>
      </c>
      <c r="O168" s="61" t="e">
        <f t="shared" si="73"/>
        <v>#REF!</v>
      </c>
      <c r="P168" s="61" t="e">
        <f t="shared" si="73"/>
        <v>#REF!</v>
      </c>
      <c r="Q168" s="62" t="e">
        <f t="shared" si="73"/>
        <v>#REF!</v>
      </c>
    </row>
    <row r="169" spans="2:17" ht="26.25" thickBot="1" x14ac:dyDescent="0.25">
      <c r="B169" s="174"/>
      <c r="C169" s="75" t="s">
        <v>25</v>
      </c>
      <c r="D169" s="11" t="s">
        <v>559</v>
      </c>
      <c r="E169" s="3" t="e">
        <f t="shared" ref="E169:G170" si="74">E79</f>
        <v>#REF!</v>
      </c>
      <c r="F169" s="3" t="e">
        <f t="shared" si="74"/>
        <v>#REF!</v>
      </c>
      <c r="G169" s="3" t="e">
        <f t="shared" si="74"/>
        <v>#REF!</v>
      </c>
      <c r="H169" s="162" t="e">
        <f>G169*1.01</f>
        <v>#REF!</v>
      </c>
      <c r="I169" s="162" t="e">
        <f>H169*1.01</f>
        <v>#REF!</v>
      </c>
      <c r="J169" s="162" t="e">
        <f>I169*1.01</f>
        <v>#REF!</v>
      </c>
      <c r="K169" s="162" t="e">
        <f t="shared" ref="K169:Q169" si="75">J169*1.01</f>
        <v>#REF!</v>
      </c>
      <c r="L169" s="162" t="e">
        <f t="shared" si="75"/>
        <v>#REF!</v>
      </c>
      <c r="M169" s="162" t="e">
        <f t="shared" si="75"/>
        <v>#REF!</v>
      </c>
      <c r="N169" s="162" t="e">
        <f t="shared" si="75"/>
        <v>#REF!</v>
      </c>
      <c r="O169" s="162" t="e">
        <f t="shared" si="75"/>
        <v>#REF!</v>
      </c>
      <c r="P169" s="162" t="e">
        <f t="shared" si="75"/>
        <v>#REF!</v>
      </c>
      <c r="Q169" s="162" t="e">
        <f t="shared" si="75"/>
        <v>#REF!</v>
      </c>
    </row>
    <row r="170" spans="2:17" ht="26.25" thickBot="1" x14ac:dyDescent="0.25">
      <c r="B170" s="174"/>
      <c r="C170" s="75" t="s">
        <v>593</v>
      </c>
      <c r="D170" s="11" t="s">
        <v>559</v>
      </c>
      <c r="E170" s="3" t="e">
        <f t="shared" si="74"/>
        <v>#REF!</v>
      </c>
      <c r="F170" s="3" t="e">
        <f t="shared" si="74"/>
        <v>#REF!</v>
      </c>
      <c r="G170" s="3" t="e">
        <f t="shared" si="74"/>
        <v>#REF!</v>
      </c>
      <c r="H170" s="162" t="e">
        <f>H169*0.249</f>
        <v>#REF!</v>
      </c>
      <c r="I170" s="331" t="e">
        <f>I169*0.3</f>
        <v>#REF!</v>
      </c>
      <c r="J170" s="331" t="e">
        <f>J169</f>
        <v>#REF!</v>
      </c>
      <c r="K170" s="331" t="e">
        <f t="shared" ref="K170:Q170" si="76">K169</f>
        <v>#REF!</v>
      </c>
      <c r="L170" s="331" t="e">
        <f t="shared" si="76"/>
        <v>#REF!</v>
      </c>
      <c r="M170" s="331" t="e">
        <f t="shared" si="76"/>
        <v>#REF!</v>
      </c>
      <c r="N170" s="331" t="e">
        <f t="shared" si="76"/>
        <v>#REF!</v>
      </c>
      <c r="O170" s="331" t="e">
        <f t="shared" si="76"/>
        <v>#REF!</v>
      </c>
      <c r="P170" s="331" t="e">
        <f t="shared" si="76"/>
        <v>#REF!</v>
      </c>
      <c r="Q170" s="331" t="e">
        <f t="shared" si="76"/>
        <v>#REF!</v>
      </c>
    </row>
    <row r="171" spans="2:17" ht="26.25" thickBot="1" x14ac:dyDescent="0.25">
      <c r="B171" s="174"/>
      <c r="C171" s="258" t="s">
        <v>560</v>
      </c>
      <c r="D171" s="11" t="s">
        <v>559</v>
      </c>
      <c r="E171" s="3"/>
      <c r="F171" s="3"/>
      <c r="G171" s="162" t="e">
        <f>G170*0.1</f>
        <v>#REF!</v>
      </c>
      <c r="H171" s="162" t="e">
        <f>H170*0.1</f>
        <v>#REF!</v>
      </c>
      <c r="I171" s="162" t="e">
        <f t="shared" ref="I171:O171" si="77">I170*0.1</f>
        <v>#REF!</v>
      </c>
      <c r="J171" s="162" t="e">
        <f>J170*0.07</f>
        <v>#REF!</v>
      </c>
      <c r="K171" s="162" t="e">
        <f t="shared" si="77"/>
        <v>#REF!</v>
      </c>
      <c r="L171" s="162" t="e">
        <f t="shared" si="77"/>
        <v>#REF!</v>
      </c>
      <c r="M171" s="162" t="e">
        <f t="shared" si="77"/>
        <v>#REF!</v>
      </c>
      <c r="N171" s="162" t="e">
        <f t="shared" si="77"/>
        <v>#REF!</v>
      </c>
      <c r="O171" s="162" t="e">
        <f t="shared" si="77"/>
        <v>#REF!</v>
      </c>
      <c r="P171" s="162" t="e">
        <f>P170*0.1</f>
        <v>#REF!</v>
      </c>
      <c r="Q171" s="162" t="e">
        <f>Q170*0.1</f>
        <v>#REF!</v>
      </c>
    </row>
    <row r="172" spans="2:17" ht="26.25" thickBot="1" x14ac:dyDescent="0.25">
      <c r="B172" s="174"/>
      <c r="C172" s="257" t="s">
        <v>26</v>
      </c>
      <c r="D172" s="96" t="s">
        <v>559</v>
      </c>
      <c r="E172" s="111"/>
      <c r="F172" s="111"/>
      <c r="G172" s="111" t="e">
        <f>G169</f>
        <v>#REF!</v>
      </c>
      <c r="H172" s="163" t="e">
        <f>H169-H171</f>
        <v>#REF!</v>
      </c>
      <c r="I172" s="163" t="e">
        <f t="shared" ref="I172:Q172" si="78">I169-I171</f>
        <v>#REF!</v>
      </c>
      <c r="J172" s="163" t="e">
        <f t="shared" si="78"/>
        <v>#REF!</v>
      </c>
      <c r="K172" s="163" t="e">
        <f t="shared" si="78"/>
        <v>#REF!</v>
      </c>
      <c r="L172" s="163" t="e">
        <f t="shared" si="78"/>
        <v>#REF!</v>
      </c>
      <c r="M172" s="163" t="e">
        <f t="shared" si="78"/>
        <v>#REF!</v>
      </c>
      <c r="N172" s="163" t="e">
        <f t="shared" si="78"/>
        <v>#REF!</v>
      </c>
      <c r="O172" s="163" t="e">
        <f t="shared" si="78"/>
        <v>#REF!</v>
      </c>
      <c r="P172" s="163" t="e">
        <f t="shared" si="78"/>
        <v>#REF!</v>
      </c>
      <c r="Q172" s="167" t="e">
        <f t="shared" si="78"/>
        <v>#REF!</v>
      </c>
    </row>
    <row r="173" spans="2:17" ht="16.5" thickBot="1" x14ac:dyDescent="0.25">
      <c r="B173" s="174"/>
      <c r="C173" s="75" t="s">
        <v>594</v>
      </c>
      <c r="D173" s="11" t="s">
        <v>559</v>
      </c>
      <c r="E173" s="3" t="e">
        <f t="shared" ref="E173:G174" si="79">E81</f>
        <v>#REF!</v>
      </c>
      <c r="F173" s="3" t="e">
        <f t="shared" si="79"/>
        <v>#REF!</v>
      </c>
      <c r="G173" s="3" t="e">
        <f t="shared" si="79"/>
        <v>#REF!</v>
      </c>
      <c r="H173" s="162" t="e">
        <f>G173*1.01</f>
        <v>#REF!</v>
      </c>
      <c r="I173" s="162" t="e">
        <f>H173*1.015</f>
        <v>#REF!</v>
      </c>
      <c r="J173" s="162" t="e">
        <f>I173</f>
        <v>#REF!</v>
      </c>
      <c r="K173" s="162" t="e">
        <f>J173</f>
        <v>#REF!</v>
      </c>
      <c r="L173" s="162" t="e">
        <f t="shared" ref="L173:Q173" si="80">K173</f>
        <v>#REF!</v>
      </c>
      <c r="M173" s="162" t="e">
        <f t="shared" si="80"/>
        <v>#REF!</v>
      </c>
      <c r="N173" s="162" t="e">
        <f t="shared" si="80"/>
        <v>#REF!</v>
      </c>
      <c r="O173" s="162" t="e">
        <f t="shared" si="80"/>
        <v>#REF!</v>
      </c>
      <c r="P173" s="162" t="e">
        <f t="shared" si="80"/>
        <v>#REF!</v>
      </c>
      <c r="Q173" s="162" t="e">
        <f t="shared" si="80"/>
        <v>#REF!</v>
      </c>
    </row>
    <row r="174" spans="2:17" ht="26.25" thickBot="1" x14ac:dyDescent="0.25">
      <c r="B174" s="174"/>
      <c r="C174" s="75" t="s">
        <v>598</v>
      </c>
      <c r="D174" s="11" t="s">
        <v>559</v>
      </c>
      <c r="E174" s="3" t="e">
        <f t="shared" si="79"/>
        <v>#REF!</v>
      </c>
      <c r="F174" s="3" t="e">
        <f t="shared" si="79"/>
        <v>#REF!</v>
      </c>
      <c r="G174" s="3" t="e">
        <f t="shared" si="79"/>
        <v>#REF!</v>
      </c>
      <c r="H174" s="162" t="e">
        <f>H173*0.115</f>
        <v>#REF!</v>
      </c>
      <c r="I174" s="162" t="e">
        <f>I173*0.61</f>
        <v>#REF!</v>
      </c>
      <c r="J174" s="162" t="e">
        <f t="shared" ref="J174:Q174" si="81">J173</f>
        <v>#REF!</v>
      </c>
      <c r="K174" s="162" t="e">
        <f t="shared" si="81"/>
        <v>#REF!</v>
      </c>
      <c r="L174" s="162" t="e">
        <f t="shared" si="81"/>
        <v>#REF!</v>
      </c>
      <c r="M174" s="162" t="e">
        <f t="shared" si="81"/>
        <v>#REF!</v>
      </c>
      <c r="N174" s="162" t="e">
        <f t="shared" si="81"/>
        <v>#REF!</v>
      </c>
      <c r="O174" s="162" t="e">
        <f t="shared" si="81"/>
        <v>#REF!</v>
      </c>
      <c r="P174" s="162" t="e">
        <f t="shared" si="81"/>
        <v>#REF!</v>
      </c>
      <c r="Q174" s="162" t="e">
        <f t="shared" si="81"/>
        <v>#REF!</v>
      </c>
    </row>
    <row r="175" spans="2:17" ht="26.25" thickBot="1" x14ac:dyDescent="0.25">
      <c r="B175" s="174"/>
      <c r="C175" s="258" t="s">
        <v>385</v>
      </c>
      <c r="D175" s="11" t="s">
        <v>559</v>
      </c>
      <c r="E175" s="3"/>
      <c r="F175" s="3"/>
      <c r="G175" s="162" t="e">
        <f>G174*0.1</f>
        <v>#REF!</v>
      </c>
      <c r="H175" s="162" t="e">
        <f t="shared" ref="H175:Q175" si="82">H174*0.1</f>
        <v>#REF!</v>
      </c>
      <c r="I175" s="162" t="e">
        <f t="shared" si="82"/>
        <v>#REF!</v>
      </c>
      <c r="J175" s="162" t="e">
        <f>J174*0.07</f>
        <v>#REF!</v>
      </c>
      <c r="K175" s="162" t="e">
        <f t="shared" si="82"/>
        <v>#REF!</v>
      </c>
      <c r="L175" s="162" t="e">
        <f t="shared" si="82"/>
        <v>#REF!</v>
      </c>
      <c r="M175" s="162" t="e">
        <f t="shared" si="82"/>
        <v>#REF!</v>
      </c>
      <c r="N175" s="162" t="e">
        <f t="shared" si="82"/>
        <v>#REF!</v>
      </c>
      <c r="O175" s="162" t="e">
        <f t="shared" si="82"/>
        <v>#REF!</v>
      </c>
      <c r="P175" s="162" t="e">
        <f t="shared" si="82"/>
        <v>#REF!</v>
      </c>
      <c r="Q175" s="162" t="e">
        <f t="shared" si="82"/>
        <v>#REF!</v>
      </c>
    </row>
    <row r="176" spans="2:17" ht="26.25" thickBot="1" x14ac:dyDescent="0.25">
      <c r="B176" s="175"/>
      <c r="C176" s="257" t="s">
        <v>27</v>
      </c>
      <c r="D176" s="11" t="s">
        <v>559</v>
      </c>
      <c r="E176" s="168"/>
      <c r="F176" s="168"/>
      <c r="G176" s="168" t="e">
        <f>G173</f>
        <v>#REF!</v>
      </c>
      <c r="H176" s="169" t="e">
        <f>H173-H175</f>
        <v>#REF!</v>
      </c>
      <c r="I176" s="169" t="e">
        <f t="shared" ref="I176:Q176" si="83">I173-I175</f>
        <v>#REF!</v>
      </c>
      <c r="J176" s="169" t="e">
        <f t="shared" si="83"/>
        <v>#REF!</v>
      </c>
      <c r="K176" s="169" t="e">
        <f t="shared" si="83"/>
        <v>#REF!</v>
      </c>
      <c r="L176" s="169" t="e">
        <f t="shared" si="83"/>
        <v>#REF!</v>
      </c>
      <c r="M176" s="169" t="e">
        <f t="shared" si="83"/>
        <v>#REF!</v>
      </c>
      <c r="N176" s="169" t="e">
        <f t="shared" si="83"/>
        <v>#REF!</v>
      </c>
      <c r="O176" s="169" t="e">
        <f t="shared" si="83"/>
        <v>#REF!</v>
      </c>
      <c r="P176" s="169" t="e">
        <f t="shared" si="83"/>
        <v>#REF!</v>
      </c>
      <c r="Q176" s="170" t="e">
        <f t="shared" si="83"/>
        <v>#REF!</v>
      </c>
    </row>
    <row r="177" spans="2:18" s="185" customFormat="1" ht="15.75" x14ac:dyDescent="0.2">
      <c r="B177" s="186"/>
      <c r="C177" s="282" t="s">
        <v>334</v>
      </c>
      <c r="D177" s="283" t="s">
        <v>559</v>
      </c>
      <c r="E177" s="187"/>
      <c r="F177" s="187"/>
      <c r="G177" s="188" t="e">
        <f>G170+G174</f>
        <v>#REF!</v>
      </c>
      <c r="H177" s="188" t="e">
        <f>H170+H174</f>
        <v>#REF!</v>
      </c>
      <c r="I177" s="188" t="e">
        <f>I170+I174</f>
        <v>#REF!</v>
      </c>
      <c r="J177" s="188" t="e">
        <f>J172+J176</f>
        <v>#REF!</v>
      </c>
      <c r="K177" s="188" t="e">
        <f t="shared" ref="K177:Q177" si="84">K172+K176</f>
        <v>#REF!</v>
      </c>
      <c r="L177" s="188" t="e">
        <f t="shared" si="84"/>
        <v>#REF!</v>
      </c>
      <c r="M177" s="188" t="e">
        <f t="shared" si="84"/>
        <v>#REF!</v>
      </c>
      <c r="N177" s="188" t="e">
        <f t="shared" si="84"/>
        <v>#REF!</v>
      </c>
      <c r="O177" s="188" t="e">
        <f t="shared" si="84"/>
        <v>#REF!</v>
      </c>
      <c r="P177" s="188" t="e">
        <f t="shared" si="84"/>
        <v>#REF!</v>
      </c>
      <c r="Q177" s="188" t="e">
        <f t="shared" si="84"/>
        <v>#REF!</v>
      </c>
    </row>
    <row r="178" spans="2:18" s="185" customFormat="1" ht="25.5" x14ac:dyDescent="0.2">
      <c r="B178" s="186"/>
      <c r="C178" s="366" t="s">
        <v>608</v>
      </c>
      <c r="D178" s="284" t="s">
        <v>559</v>
      </c>
      <c r="E178" s="285"/>
      <c r="F178" s="285"/>
      <c r="G178" s="285" t="e">
        <f>G176+G172</f>
        <v>#REF!</v>
      </c>
      <c r="H178" s="286" t="e">
        <f>H172+H176</f>
        <v>#REF!</v>
      </c>
      <c r="I178" s="286" t="e">
        <f t="shared" ref="I178:Q178" si="85">I172+I176</f>
        <v>#REF!</v>
      </c>
      <c r="J178" s="286" t="e">
        <f t="shared" si="85"/>
        <v>#REF!</v>
      </c>
      <c r="K178" s="286" t="e">
        <f t="shared" si="85"/>
        <v>#REF!</v>
      </c>
      <c r="L178" s="286" t="e">
        <f t="shared" si="85"/>
        <v>#REF!</v>
      </c>
      <c r="M178" s="286" t="e">
        <f t="shared" si="85"/>
        <v>#REF!</v>
      </c>
      <c r="N178" s="286" t="e">
        <f t="shared" si="85"/>
        <v>#REF!</v>
      </c>
      <c r="O178" s="286" t="e">
        <f t="shared" si="85"/>
        <v>#REF!</v>
      </c>
      <c r="P178" s="286" t="e">
        <f t="shared" si="85"/>
        <v>#REF!</v>
      </c>
      <c r="Q178" s="286" t="e">
        <f t="shared" si="85"/>
        <v>#REF!</v>
      </c>
    </row>
    <row r="179" spans="2:18" s="185" customFormat="1" ht="15.75" x14ac:dyDescent="0.2">
      <c r="B179" s="186"/>
      <c r="C179" s="290" t="s">
        <v>567</v>
      </c>
      <c r="D179" s="284" t="s">
        <v>559</v>
      </c>
      <c r="E179" s="285"/>
      <c r="F179" s="285"/>
      <c r="G179" s="285"/>
      <c r="H179" s="286" t="e">
        <f>(H171+H175)-(G171+G175)</f>
        <v>#REF!</v>
      </c>
      <c r="I179" s="286" t="e">
        <f>(I171+I175)-(H171+H175)</f>
        <v>#REF!</v>
      </c>
      <c r="J179" s="286" t="e">
        <f>(J171+J175)-(I171+I175)</f>
        <v>#REF!</v>
      </c>
      <c r="K179" s="286" t="e">
        <f>(K171+K175)-(J171+J175)</f>
        <v>#REF!</v>
      </c>
      <c r="L179" s="286" t="e">
        <f t="shared" ref="L179:Q179" si="86">(L171+L175)-(K171+K175)</f>
        <v>#REF!</v>
      </c>
      <c r="M179" s="286" t="e">
        <f t="shared" si="86"/>
        <v>#REF!</v>
      </c>
      <c r="N179" s="286" t="e">
        <f t="shared" si="86"/>
        <v>#REF!</v>
      </c>
      <c r="O179" s="286" t="e">
        <f t="shared" si="86"/>
        <v>#REF!</v>
      </c>
      <c r="P179" s="286" t="e">
        <f t="shared" si="86"/>
        <v>#REF!</v>
      </c>
      <c r="Q179" s="286" t="e">
        <f t="shared" si="86"/>
        <v>#REF!</v>
      </c>
    </row>
    <row r="180" spans="2:18" s="185" customFormat="1" ht="15.75" x14ac:dyDescent="0.2">
      <c r="B180" s="186"/>
      <c r="C180" s="287" t="s">
        <v>335</v>
      </c>
      <c r="D180" s="288" t="s">
        <v>15</v>
      </c>
      <c r="E180" s="106"/>
      <c r="F180" s="106"/>
      <c r="G180" s="106"/>
      <c r="H180" s="289" t="e">
        <f>H177/H178*1.055</f>
        <v>#REF!</v>
      </c>
      <c r="I180" s="289" t="e">
        <f>I177/I178*1.1</f>
        <v>#REF!</v>
      </c>
      <c r="J180" s="289" t="e">
        <f>J177/J178*1.08</f>
        <v>#REF!</v>
      </c>
      <c r="K180" s="289" t="e">
        <f>K177/K178*1.015</f>
        <v>#REF!</v>
      </c>
      <c r="L180" s="289" t="e">
        <f t="shared" ref="L180:Q180" si="87">L177/L178</f>
        <v>#REF!</v>
      </c>
      <c r="M180" s="289" t="e">
        <f t="shared" si="87"/>
        <v>#REF!</v>
      </c>
      <c r="N180" s="289" t="e">
        <f t="shared" si="87"/>
        <v>#REF!</v>
      </c>
      <c r="O180" s="289" t="e">
        <f t="shared" si="87"/>
        <v>#REF!</v>
      </c>
      <c r="P180" s="289" t="e">
        <f t="shared" si="87"/>
        <v>#REF!</v>
      </c>
      <c r="Q180" s="289" t="e">
        <f t="shared" si="87"/>
        <v>#REF!</v>
      </c>
    </row>
    <row r="181" spans="2:18" ht="26.25" thickBot="1" x14ac:dyDescent="0.25">
      <c r="B181" s="72"/>
      <c r="C181" s="190" t="s">
        <v>336</v>
      </c>
      <c r="D181" s="189" t="s">
        <v>559</v>
      </c>
      <c r="E181" s="191"/>
      <c r="F181" s="191"/>
      <c r="G181" s="191"/>
      <c r="H181" s="192" t="e">
        <f>H178-H177</f>
        <v>#REF!</v>
      </c>
      <c r="I181" s="192" t="e">
        <f t="shared" ref="I181:Q181" si="88">I178-I177</f>
        <v>#REF!</v>
      </c>
      <c r="J181" s="192" t="e">
        <f t="shared" si="88"/>
        <v>#REF!</v>
      </c>
      <c r="K181" s="192" t="e">
        <f t="shared" si="88"/>
        <v>#REF!</v>
      </c>
      <c r="L181" s="192" t="e">
        <f t="shared" si="88"/>
        <v>#REF!</v>
      </c>
      <c r="M181" s="192" t="e">
        <f t="shared" si="88"/>
        <v>#REF!</v>
      </c>
      <c r="N181" s="192" t="e">
        <f t="shared" si="88"/>
        <v>#REF!</v>
      </c>
      <c r="O181" s="192" t="e">
        <f t="shared" si="88"/>
        <v>#REF!</v>
      </c>
      <c r="P181" s="192" t="e">
        <f t="shared" si="88"/>
        <v>#REF!</v>
      </c>
      <c r="Q181" s="192" t="e">
        <f t="shared" si="88"/>
        <v>#REF!</v>
      </c>
    </row>
    <row r="182" spans="2:18" ht="26.25" thickBot="1" x14ac:dyDescent="0.25">
      <c r="B182" s="3"/>
      <c r="C182" s="75" t="s">
        <v>602</v>
      </c>
      <c r="D182" s="189" t="s">
        <v>559</v>
      </c>
      <c r="E182" s="3"/>
      <c r="F182" s="3"/>
      <c r="G182" s="3"/>
      <c r="H182" s="84" t="e">
        <f>H171+H175</f>
        <v>#REF!</v>
      </c>
      <c r="I182" s="84" t="e">
        <f t="shared" ref="I182:Q182" si="89">I171+I175</f>
        <v>#REF!</v>
      </c>
      <c r="J182" s="84" t="e">
        <f t="shared" si="89"/>
        <v>#REF!</v>
      </c>
      <c r="K182" s="84" t="e">
        <f t="shared" si="89"/>
        <v>#REF!</v>
      </c>
      <c r="L182" s="84" t="e">
        <f t="shared" si="89"/>
        <v>#REF!</v>
      </c>
      <c r="M182" s="84" t="e">
        <f t="shared" si="89"/>
        <v>#REF!</v>
      </c>
      <c r="N182" s="84" t="e">
        <f t="shared" si="89"/>
        <v>#REF!</v>
      </c>
      <c r="O182" s="84" t="e">
        <f t="shared" si="89"/>
        <v>#REF!</v>
      </c>
      <c r="P182" s="84" t="e">
        <f t="shared" si="89"/>
        <v>#REF!</v>
      </c>
      <c r="Q182" s="84" t="e">
        <f t="shared" si="89"/>
        <v>#REF!</v>
      </c>
    </row>
    <row r="183" spans="2:18" ht="16.5" thickBot="1" x14ac:dyDescent="0.25">
      <c r="B183" s="3"/>
      <c r="C183" s="171" t="s">
        <v>603</v>
      </c>
      <c r="D183" s="189" t="s">
        <v>559</v>
      </c>
      <c r="E183" s="3"/>
      <c r="F183" s="3"/>
      <c r="G183" s="3"/>
      <c r="H183" s="84" t="e">
        <f>H182</f>
        <v>#REF!</v>
      </c>
      <c r="I183" s="84" t="e">
        <f>I182-H182</f>
        <v>#REF!</v>
      </c>
      <c r="J183" s="84" t="e">
        <f>J182-I182</f>
        <v>#REF!</v>
      </c>
      <c r="K183" s="84" t="e">
        <f>K182-J182</f>
        <v>#REF!</v>
      </c>
      <c r="L183" s="84" t="e">
        <f>L182-K182</f>
        <v>#REF!</v>
      </c>
      <c r="M183" s="84" t="e">
        <f>M182-L182</f>
        <v>#REF!</v>
      </c>
      <c r="N183" s="84">
        <v>0</v>
      </c>
      <c r="O183" s="84">
        <v>0</v>
      </c>
      <c r="P183" s="84">
        <v>0</v>
      </c>
      <c r="Q183" s="84">
        <v>0</v>
      </c>
    </row>
    <row r="184" spans="2:18" ht="15.75" x14ac:dyDescent="0.2">
      <c r="B184" s="3"/>
      <c r="C184" s="171"/>
      <c r="D184" s="256"/>
      <c r="E184" s="3"/>
      <c r="F184" s="3"/>
      <c r="G184" s="3"/>
      <c r="H184" s="84"/>
      <c r="I184" s="84"/>
      <c r="J184" s="84"/>
      <c r="K184" s="84"/>
      <c r="L184" s="84"/>
      <c r="M184" s="84"/>
      <c r="N184" s="84"/>
      <c r="O184" s="84"/>
      <c r="P184" s="84"/>
      <c r="Q184" s="84"/>
    </row>
    <row r="185" spans="2:18" x14ac:dyDescent="0.2">
      <c r="B185" s="3"/>
      <c r="C185" s="172" t="s">
        <v>411</v>
      </c>
      <c r="D185" s="160" t="s">
        <v>509</v>
      </c>
      <c r="E185" s="160"/>
      <c r="F185" s="160"/>
      <c r="G185" s="160"/>
      <c r="H185" s="161" t="e">
        <f t="shared" ref="H185:Q185" si="90">H119+H164</f>
        <v>#REF!</v>
      </c>
      <c r="I185" s="161" t="e">
        <f t="shared" si="90"/>
        <v>#REF!</v>
      </c>
      <c r="J185" s="161" t="e">
        <f t="shared" si="90"/>
        <v>#REF!</v>
      </c>
      <c r="K185" s="161" t="e">
        <f t="shared" si="90"/>
        <v>#REF!</v>
      </c>
      <c r="L185" s="161" t="e">
        <f t="shared" si="90"/>
        <v>#REF!</v>
      </c>
      <c r="M185" s="161" t="e">
        <f t="shared" si="90"/>
        <v>#REF!</v>
      </c>
      <c r="N185" s="161" t="e">
        <f t="shared" si="90"/>
        <v>#REF!</v>
      </c>
      <c r="O185" s="161" t="e">
        <f t="shared" si="90"/>
        <v>#REF!</v>
      </c>
      <c r="P185" s="161" t="e">
        <f t="shared" si="90"/>
        <v>#REF!</v>
      </c>
      <c r="Q185" s="161" t="e">
        <f t="shared" si="90"/>
        <v>#REF!</v>
      </c>
      <c r="R185" s="80"/>
    </row>
    <row r="186" spans="2:18" x14ac:dyDescent="0.2">
      <c r="C186" s="81"/>
      <c r="D186" s="82"/>
      <c r="E186" s="82"/>
      <c r="F186" s="82"/>
      <c r="G186" s="82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0"/>
    </row>
    <row r="187" spans="2:18" x14ac:dyDescent="0.2">
      <c r="C187" s="81"/>
      <c r="D187" s="82"/>
      <c r="E187" s="82"/>
      <c r="F187" s="82"/>
      <c r="G187" s="82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0"/>
    </row>
    <row r="188" spans="2:18" ht="13.5" thickBot="1" x14ac:dyDescent="0.25">
      <c r="E188" s="57">
        <v>2007</v>
      </c>
      <c r="F188" s="57">
        <v>2008</v>
      </c>
      <c r="G188" s="57">
        <v>2009</v>
      </c>
      <c r="H188" s="57">
        <v>2010</v>
      </c>
      <c r="I188" s="57">
        <v>2011</v>
      </c>
      <c r="J188" s="57">
        <v>2012</v>
      </c>
      <c r="K188" s="57">
        <v>2013</v>
      </c>
      <c r="L188" s="57">
        <v>2014</v>
      </c>
      <c r="M188" s="57">
        <v>2015</v>
      </c>
      <c r="N188" s="57">
        <v>2016</v>
      </c>
      <c r="O188" s="57">
        <v>2017</v>
      </c>
      <c r="P188" s="57">
        <v>2018</v>
      </c>
      <c r="Q188" s="57">
        <v>2019</v>
      </c>
    </row>
    <row r="189" spans="2:18" ht="13.5" thickBot="1" x14ac:dyDescent="0.25">
      <c r="C189" s="350" t="s">
        <v>438</v>
      </c>
      <c r="D189" s="351" t="s">
        <v>439</v>
      </c>
      <c r="E189" s="351"/>
      <c r="F189" s="351"/>
      <c r="G189" s="351"/>
      <c r="H189" s="354" t="e">
        <f>H6</f>
        <v>#REF!</v>
      </c>
      <c r="I189" s="354" t="e">
        <f t="shared" ref="I189:Q189" si="91">I6</f>
        <v>#REF!</v>
      </c>
      <c r="J189" s="354" t="e">
        <f t="shared" si="91"/>
        <v>#REF!</v>
      </c>
      <c r="K189" s="354" t="e">
        <f t="shared" si="91"/>
        <v>#REF!</v>
      </c>
      <c r="L189" s="354" t="e">
        <f t="shared" si="91"/>
        <v>#REF!</v>
      </c>
      <c r="M189" s="354" t="e">
        <f t="shared" si="91"/>
        <v>#REF!</v>
      </c>
      <c r="N189" s="354" t="e">
        <f t="shared" si="91"/>
        <v>#REF!</v>
      </c>
      <c r="O189" s="354" t="e">
        <f t="shared" si="91"/>
        <v>#REF!</v>
      </c>
      <c r="P189" s="354" t="e">
        <f t="shared" si="91"/>
        <v>#REF!</v>
      </c>
      <c r="Q189" s="355" t="e">
        <f t="shared" si="91"/>
        <v>#REF!</v>
      </c>
    </row>
    <row r="190" spans="2:18" ht="26.25" thickBot="1" x14ac:dyDescent="0.25">
      <c r="C190" s="376" t="s">
        <v>437</v>
      </c>
      <c r="D190" s="377" t="s">
        <v>436</v>
      </c>
      <c r="E190" s="378"/>
      <c r="F190" s="378"/>
      <c r="G190" s="378"/>
      <c r="H190" s="379" t="e">
        <f>H191*1000/0.123</f>
        <v>#REF!</v>
      </c>
      <c r="I190" s="379" t="e">
        <f t="shared" ref="I190:Q190" si="92">I191*1000/0.123</f>
        <v>#REF!</v>
      </c>
      <c r="J190" s="379" t="e">
        <f t="shared" si="92"/>
        <v>#REF!</v>
      </c>
      <c r="K190" s="379" t="e">
        <f t="shared" si="92"/>
        <v>#REF!</v>
      </c>
      <c r="L190" s="379" t="e">
        <f t="shared" si="92"/>
        <v>#REF!</v>
      </c>
      <c r="M190" s="379" t="e">
        <f t="shared" si="92"/>
        <v>#REF!</v>
      </c>
      <c r="N190" s="379" t="e">
        <f t="shared" si="92"/>
        <v>#REF!</v>
      </c>
      <c r="O190" s="379" t="e">
        <f t="shared" si="92"/>
        <v>#REF!</v>
      </c>
      <c r="P190" s="379" t="e">
        <f t="shared" si="92"/>
        <v>#REF!</v>
      </c>
      <c r="Q190" s="380" t="e">
        <f t="shared" si="92"/>
        <v>#REF!</v>
      </c>
    </row>
    <row r="191" spans="2:18" ht="13.5" thickBot="1" x14ac:dyDescent="0.25">
      <c r="C191" s="350" t="s">
        <v>441</v>
      </c>
      <c r="D191" s="351" t="s">
        <v>440</v>
      </c>
      <c r="E191" s="351"/>
      <c r="F191" s="351"/>
      <c r="G191" s="351"/>
      <c r="H191" s="357" t="e">
        <f>H189*H192/100</f>
        <v>#REF!</v>
      </c>
      <c r="I191" s="357" t="e">
        <f t="shared" ref="I191:Q191" si="93">I189*I192/100</f>
        <v>#REF!</v>
      </c>
      <c r="J191" s="357" t="e">
        <f t="shared" si="93"/>
        <v>#REF!</v>
      </c>
      <c r="K191" s="357" t="e">
        <f t="shared" si="93"/>
        <v>#REF!</v>
      </c>
      <c r="L191" s="357" t="e">
        <f t="shared" si="93"/>
        <v>#REF!</v>
      </c>
      <c r="M191" s="357" t="e">
        <f t="shared" si="93"/>
        <v>#REF!</v>
      </c>
      <c r="N191" s="357" t="e">
        <f t="shared" si="93"/>
        <v>#REF!</v>
      </c>
      <c r="O191" s="357" t="e">
        <f t="shared" si="93"/>
        <v>#REF!</v>
      </c>
      <c r="P191" s="357" t="e">
        <f t="shared" si="93"/>
        <v>#REF!</v>
      </c>
      <c r="Q191" s="358" t="e">
        <f t="shared" si="93"/>
        <v>#REF!</v>
      </c>
    </row>
    <row r="192" spans="2:18" x14ac:dyDescent="0.2">
      <c r="C192" s="349" t="s">
        <v>458</v>
      </c>
      <c r="D192" s="72" t="s">
        <v>15</v>
      </c>
      <c r="E192" s="76" t="e">
        <f>'тэр районы'!D4</f>
        <v>#REF!</v>
      </c>
      <c r="F192" s="76" t="e">
        <f>'тэр районы'!L4</f>
        <v>#REF!</v>
      </c>
      <c r="G192" s="76" t="e">
        <f>'тэр районы'!T4</f>
        <v>#REF!</v>
      </c>
      <c r="H192" s="76" t="e">
        <f>E192</f>
        <v>#REF!</v>
      </c>
      <c r="I192" s="291" t="e">
        <f>E192</f>
        <v>#REF!</v>
      </c>
      <c r="J192" s="291" t="e">
        <f>E192</f>
        <v>#REF!</v>
      </c>
      <c r="K192" s="291" t="e">
        <f>$E$192</f>
        <v>#REF!</v>
      </c>
      <c r="L192" s="291" t="e">
        <f t="shared" ref="L192:Q192" si="94">$E$192</f>
        <v>#REF!</v>
      </c>
      <c r="M192" s="291" t="e">
        <f t="shared" si="94"/>
        <v>#REF!</v>
      </c>
      <c r="N192" s="291" t="e">
        <f t="shared" si="94"/>
        <v>#REF!</v>
      </c>
      <c r="O192" s="291" t="e">
        <f t="shared" si="94"/>
        <v>#REF!</v>
      </c>
      <c r="P192" s="291" t="e">
        <f t="shared" si="94"/>
        <v>#REF!</v>
      </c>
      <c r="Q192" s="291" t="e">
        <f t="shared" si="94"/>
        <v>#REF!</v>
      </c>
    </row>
    <row r="193" spans="3:17" x14ac:dyDescent="0.2">
      <c r="C193" s="374" t="s">
        <v>442</v>
      </c>
      <c r="D193" s="372" t="s">
        <v>440</v>
      </c>
      <c r="E193" s="372"/>
      <c r="F193" s="372"/>
      <c r="G193" s="372"/>
      <c r="H193" s="372" t="e">
        <f>H137</f>
        <v>#REF!</v>
      </c>
      <c r="I193" s="372"/>
      <c r="J193" s="372"/>
      <c r="K193" s="372"/>
      <c r="L193" s="372"/>
      <c r="M193" s="372"/>
      <c r="N193" s="372"/>
      <c r="O193" s="372"/>
      <c r="P193" s="372"/>
      <c r="Q193" s="375"/>
    </row>
    <row r="194" spans="3:17" x14ac:dyDescent="0.2">
      <c r="C194" s="112" t="s">
        <v>443</v>
      </c>
      <c r="D194" s="3" t="s">
        <v>440</v>
      </c>
      <c r="E194" s="3"/>
      <c r="F194" s="3"/>
      <c r="G194" s="3"/>
      <c r="H194" s="21" t="e">
        <f>H115/1000</f>
        <v>#REF!</v>
      </c>
      <c r="I194" s="21" t="e">
        <f t="shared" ref="I194:Q194" si="95">I115/1000</f>
        <v>#REF!</v>
      </c>
      <c r="J194" s="21" t="e">
        <f t="shared" si="95"/>
        <v>#REF!</v>
      </c>
      <c r="K194" s="21" t="e">
        <f t="shared" si="95"/>
        <v>#REF!</v>
      </c>
      <c r="L194" s="21" t="e">
        <f t="shared" si="95"/>
        <v>#REF!</v>
      </c>
      <c r="M194" s="21" t="e">
        <f t="shared" si="95"/>
        <v>#REF!</v>
      </c>
      <c r="N194" s="21" t="e">
        <f t="shared" si="95"/>
        <v>#REF!</v>
      </c>
      <c r="O194" s="21" t="e">
        <f t="shared" si="95"/>
        <v>#REF!</v>
      </c>
      <c r="P194" s="21" t="e">
        <f t="shared" si="95"/>
        <v>#REF!</v>
      </c>
      <c r="Q194" s="113" t="e">
        <f t="shared" si="95"/>
        <v>#REF!</v>
      </c>
    </row>
    <row r="195" spans="3:17" ht="13.5" thickBot="1" x14ac:dyDescent="0.25">
      <c r="C195" s="370" t="s">
        <v>443</v>
      </c>
      <c r="D195" s="371" t="s">
        <v>436</v>
      </c>
      <c r="E195" s="371"/>
      <c r="F195" s="372"/>
      <c r="G195" s="372"/>
      <c r="H195" s="373" t="e">
        <f>H114/1000</f>
        <v>#REF!</v>
      </c>
      <c r="I195" s="373" t="e">
        <f t="shared" ref="I195:Q195" si="96">I114/1000</f>
        <v>#REF!</v>
      </c>
      <c r="J195" s="373" t="e">
        <f t="shared" si="96"/>
        <v>#REF!</v>
      </c>
      <c r="K195" s="373" t="e">
        <f t="shared" si="96"/>
        <v>#REF!</v>
      </c>
      <c r="L195" s="373" t="e">
        <f t="shared" si="96"/>
        <v>#REF!</v>
      </c>
      <c r="M195" s="373" t="e">
        <f t="shared" si="96"/>
        <v>#REF!</v>
      </c>
      <c r="N195" s="373" t="e">
        <f t="shared" si="96"/>
        <v>#REF!</v>
      </c>
      <c r="O195" s="373" t="e">
        <f t="shared" si="96"/>
        <v>#REF!</v>
      </c>
      <c r="P195" s="373" t="e">
        <f t="shared" si="96"/>
        <v>#REF!</v>
      </c>
      <c r="Q195" s="373" t="e">
        <f t="shared" si="96"/>
        <v>#REF!</v>
      </c>
    </row>
    <row r="196" spans="3:17" x14ac:dyDescent="0.2">
      <c r="C196" s="116" t="s">
        <v>444</v>
      </c>
      <c r="D196" s="61" t="s">
        <v>440</v>
      </c>
      <c r="E196" s="62"/>
      <c r="F196" s="56"/>
      <c r="G196" s="57"/>
      <c r="H196" s="367"/>
      <c r="I196" s="367"/>
      <c r="J196" s="367"/>
      <c r="K196" s="367"/>
      <c r="L196" s="367"/>
      <c r="M196" s="367"/>
      <c r="N196" s="367"/>
      <c r="O196" s="367"/>
      <c r="P196" s="367"/>
      <c r="Q196" s="368"/>
    </row>
    <row r="197" spans="3:17" ht="13.5" thickBot="1" x14ac:dyDescent="0.25">
      <c r="C197" s="369" t="s">
        <v>444</v>
      </c>
      <c r="D197" s="24" t="s">
        <v>436</v>
      </c>
      <c r="E197" s="85"/>
      <c r="F197" s="56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68"/>
    </row>
    <row r="198" spans="3:17" x14ac:dyDescent="0.2">
      <c r="C198" s="349" t="s">
        <v>459</v>
      </c>
      <c r="D198" s="72" t="s">
        <v>15</v>
      </c>
      <c r="E198" s="77" t="e">
        <f>(E23*0.143)/E19*100</f>
        <v>#REF!</v>
      </c>
      <c r="F198" s="78" t="e">
        <f>(F23*0.143)/F19*100</f>
        <v>#REF!</v>
      </c>
      <c r="G198" s="78" t="e">
        <f>(G23*0.143)/G19*100</f>
        <v>#REF!</v>
      </c>
      <c r="H198" s="156" t="e">
        <f>E198</f>
        <v>#REF!</v>
      </c>
      <c r="I198" s="156" t="e">
        <f>H198</f>
        <v>#REF!</v>
      </c>
      <c r="J198" s="156" t="e">
        <f>I198</f>
        <v>#REF!</v>
      </c>
      <c r="K198" s="156" t="e">
        <f t="shared" ref="K198:Q198" si="97">$E$198</f>
        <v>#REF!</v>
      </c>
      <c r="L198" s="156" t="e">
        <f t="shared" si="97"/>
        <v>#REF!</v>
      </c>
      <c r="M198" s="156" t="e">
        <f t="shared" si="97"/>
        <v>#REF!</v>
      </c>
      <c r="N198" s="156" t="e">
        <f t="shared" si="97"/>
        <v>#REF!</v>
      </c>
      <c r="O198" s="156" t="e">
        <f t="shared" si="97"/>
        <v>#REF!</v>
      </c>
      <c r="P198" s="156" t="e">
        <f t="shared" si="97"/>
        <v>#REF!</v>
      </c>
      <c r="Q198" s="281" t="e">
        <f t="shared" si="97"/>
        <v>#REF!</v>
      </c>
    </row>
    <row r="199" spans="3:17" x14ac:dyDescent="0.2">
      <c r="C199" s="112" t="s">
        <v>566</v>
      </c>
      <c r="D199" s="3" t="s">
        <v>485</v>
      </c>
      <c r="E199" s="3"/>
      <c r="F199" s="3"/>
      <c r="G199" s="3"/>
      <c r="H199" s="84" t="e">
        <f>H198*H189/100</f>
        <v>#REF!</v>
      </c>
      <c r="I199" s="84" t="e">
        <f t="shared" ref="I199:Q199" si="98">I198*I189/100</f>
        <v>#REF!</v>
      </c>
      <c r="J199" s="84" t="e">
        <f t="shared" si="98"/>
        <v>#REF!</v>
      </c>
      <c r="K199" s="84" t="e">
        <f t="shared" si="98"/>
        <v>#REF!</v>
      </c>
      <c r="L199" s="84" t="e">
        <f t="shared" si="98"/>
        <v>#REF!</v>
      </c>
      <c r="M199" s="84" t="e">
        <f t="shared" si="98"/>
        <v>#REF!</v>
      </c>
      <c r="N199" s="84" t="e">
        <f t="shared" si="98"/>
        <v>#REF!</v>
      </c>
      <c r="O199" s="84" t="e">
        <f t="shared" si="98"/>
        <v>#REF!</v>
      </c>
      <c r="P199" s="84" t="e">
        <f t="shared" si="98"/>
        <v>#REF!</v>
      </c>
      <c r="Q199" s="117" t="e">
        <f t="shared" si="98"/>
        <v>#REF!</v>
      </c>
    </row>
    <row r="200" spans="3:17" x14ac:dyDescent="0.2">
      <c r="C200" s="118" t="s">
        <v>467</v>
      </c>
      <c r="D200" s="107" t="s">
        <v>461</v>
      </c>
      <c r="E200" s="108"/>
      <c r="F200" s="108"/>
      <c r="G200" s="108"/>
      <c r="H200" s="109" t="e">
        <f>H199*1000/0.143/1000</f>
        <v>#REF!</v>
      </c>
      <c r="I200" s="109" t="e">
        <f>I199*1000/0.143/1000</f>
        <v>#REF!</v>
      </c>
      <c r="J200" s="109" t="e">
        <f t="shared" ref="J200:Q200" si="99">J199*1000/0.143/1000</f>
        <v>#REF!</v>
      </c>
      <c r="K200" s="109" t="e">
        <f t="shared" si="99"/>
        <v>#REF!</v>
      </c>
      <c r="L200" s="109" t="e">
        <f t="shared" si="99"/>
        <v>#REF!</v>
      </c>
      <c r="M200" s="109" t="e">
        <f t="shared" si="99"/>
        <v>#REF!</v>
      </c>
      <c r="N200" s="109" t="e">
        <f t="shared" si="99"/>
        <v>#REF!</v>
      </c>
      <c r="O200" s="109" t="e">
        <f t="shared" si="99"/>
        <v>#REF!</v>
      </c>
      <c r="P200" s="109" t="e">
        <f t="shared" si="99"/>
        <v>#REF!</v>
      </c>
      <c r="Q200" s="119" t="e">
        <f t="shared" si="99"/>
        <v>#REF!</v>
      </c>
    </row>
    <row r="201" spans="3:17" x14ac:dyDescent="0.2">
      <c r="C201" s="112" t="s">
        <v>442</v>
      </c>
      <c r="D201" s="3" t="s">
        <v>440</v>
      </c>
      <c r="E201" s="3"/>
      <c r="F201" s="3"/>
      <c r="G201" s="3"/>
      <c r="H201" s="84" t="e">
        <f>H202*0.143</f>
        <v>#REF!</v>
      </c>
      <c r="I201" s="84" t="e">
        <f t="shared" ref="I201:Q201" si="100">I202*0.143</f>
        <v>#REF!</v>
      </c>
      <c r="J201" s="84" t="e">
        <f t="shared" si="100"/>
        <v>#REF!</v>
      </c>
      <c r="K201" s="84" t="e">
        <f t="shared" si="100"/>
        <v>#REF!</v>
      </c>
      <c r="L201" s="84" t="e">
        <f t="shared" si="100"/>
        <v>#REF!</v>
      </c>
      <c r="M201" s="84" t="e">
        <f t="shared" si="100"/>
        <v>#REF!</v>
      </c>
      <c r="N201" s="84" t="e">
        <f t="shared" si="100"/>
        <v>#REF!</v>
      </c>
      <c r="O201" s="84" t="e">
        <f t="shared" si="100"/>
        <v>#REF!</v>
      </c>
      <c r="P201" s="84" t="e">
        <f t="shared" si="100"/>
        <v>#REF!</v>
      </c>
      <c r="Q201" s="84" t="e">
        <f t="shared" si="100"/>
        <v>#REF!</v>
      </c>
    </row>
    <row r="202" spans="3:17" x14ac:dyDescent="0.2">
      <c r="C202" s="112" t="s">
        <v>442</v>
      </c>
      <c r="D202" s="3" t="s">
        <v>565</v>
      </c>
      <c r="E202" s="3"/>
      <c r="F202" s="3"/>
      <c r="G202" s="3"/>
      <c r="H202" s="84" t="e">
        <f>H131/1000</f>
        <v>#REF!</v>
      </c>
      <c r="I202" s="84" t="e">
        <f t="shared" ref="I202:Q202" si="101">I131/1000</f>
        <v>#REF!</v>
      </c>
      <c r="J202" s="84" t="e">
        <f t="shared" si="101"/>
        <v>#REF!</v>
      </c>
      <c r="K202" s="84" t="e">
        <f t="shared" si="101"/>
        <v>#REF!</v>
      </c>
      <c r="L202" s="84" t="e">
        <f t="shared" si="101"/>
        <v>#REF!</v>
      </c>
      <c r="M202" s="84" t="e">
        <f t="shared" si="101"/>
        <v>#REF!</v>
      </c>
      <c r="N202" s="84" t="e">
        <f t="shared" si="101"/>
        <v>#REF!</v>
      </c>
      <c r="O202" s="84" t="e">
        <f t="shared" si="101"/>
        <v>#REF!</v>
      </c>
      <c r="P202" s="84" t="e">
        <f t="shared" si="101"/>
        <v>#REF!</v>
      </c>
      <c r="Q202" s="117" t="e">
        <f t="shared" si="101"/>
        <v>#REF!</v>
      </c>
    </row>
    <row r="203" spans="3:17" x14ac:dyDescent="0.2">
      <c r="C203" s="112" t="s">
        <v>443</v>
      </c>
      <c r="D203" s="3" t="s">
        <v>440</v>
      </c>
      <c r="E203" s="3"/>
      <c r="F203" s="3"/>
      <c r="G203" s="3"/>
      <c r="H203" s="69" t="e">
        <f>H204*0.143</f>
        <v>#REF!</v>
      </c>
      <c r="I203" s="69" t="e">
        <f t="shared" ref="I203:Q203" si="102">I204*0.143</f>
        <v>#REF!</v>
      </c>
      <c r="J203" s="69" t="e">
        <f t="shared" si="102"/>
        <v>#REF!</v>
      </c>
      <c r="K203" s="69" t="e">
        <f t="shared" si="102"/>
        <v>#REF!</v>
      </c>
      <c r="L203" s="69" t="e">
        <f t="shared" si="102"/>
        <v>#REF!</v>
      </c>
      <c r="M203" s="69" t="e">
        <f t="shared" si="102"/>
        <v>#REF!</v>
      </c>
      <c r="N203" s="69" t="e">
        <f t="shared" si="102"/>
        <v>#REF!</v>
      </c>
      <c r="O203" s="69" t="e">
        <f t="shared" si="102"/>
        <v>#REF!</v>
      </c>
      <c r="P203" s="69" t="e">
        <f t="shared" si="102"/>
        <v>#REF!</v>
      </c>
      <c r="Q203" s="69" t="e">
        <f t="shared" si="102"/>
        <v>#REF!</v>
      </c>
    </row>
    <row r="204" spans="3:17" x14ac:dyDescent="0.2">
      <c r="C204" s="112" t="s">
        <v>443</v>
      </c>
      <c r="D204" s="3" t="s">
        <v>462</v>
      </c>
      <c r="E204" s="3"/>
      <c r="F204" s="3"/>
      <c r="G204" s="3"/>
      <c r="H204" s="84" t="e">
        <f>H110/1000</f>
        <v>#REF!</v>
      </c>
      <c r="I204" s="84" t="e">
        <f t="shared" ref="I204:Q204" si="103">I110/1000</f>
        <v>#REF!</v>
      </c>
      <c r="J204" s="84" t="e">
        <f t="shared" si="103"/>
        <v>#REF!</v>
      </c>
      <c r="K204" s="84" t="e">
        <f t="shared" si="103"/>
        <v>#REF!</v>
      </c>
      <c r="L204" s="84" t="e">
        <f t="shared" si="103"/>
        <v>#REF!</v>
      </c>
      <c r="M204" s="84" t="e">
        <f t="shared" si="103"/>
        <v>#REF!</v>
      </c>
      <c r="N204" s="84" t="e">
        <f t="shared" si="103"/>
        <v>#REF!</v>
      </c>
      <c r="O204" s="84" t="e">
        <f t="shared" si="103"/>
        <v>#REF!</v>
      </c>
      <c r="P204" s="84" t="e">
        <f t="shared" si="103"/>
        <v>#REF!</v>
      </c>
      <c r="Q204" s="117" t="e">
        <f t="shared" si="103"/>
        <v>#REF!</v>
      </c>
    </row>
    <row r="205" spans="3:17" x14ac:dyDescent="0.2">
      <c r="C205" s="112" t="s">
        <v>444</v>
      </c>
      <c r="D205" s="3" t="s">
        <v>440</v>
      </c>
      <c r="E205" s="3"/>
      <c r="F205" s="3"/>
      <c r="G205" s="3"/>
      <c r="H205" s="84" t="e">
        <f>H199-H201-H203</f>
        <v>#REF!</v>
      </c>
      <c r="I205" s="84" t="e">
        <f t="shared" ref="I205:Q205" si="104">I199-I201-I203</f>
        <v>#REF!</v>
      </c>
      <c r="J205" s="84" t="e">
        <f t="shared" si="104"/>
        <v>#REF!</v>
      </c>
      <c r="K205" s="84" t="e">
        <f t="shared" si="104"/>
        <v>#REF!</v>
      </c>
      <c r="L205" s="84" t="e">
        <f t="shared" si="104"/>
        <v>#REF!</v>
      </c>
      <c r="M205" s="84" t="e">
        <f t="shared" si="104"/>
        <v>#REF!</v>
      </c>
      <c r="N205" s="84" t="e">
        <f t="shared" si="104"/>
        <v>#REF!</v>
      </c>
      <c r="O205" s="84" t="e">
        <f t="shared" si="104"/>
        <v>#REF!</v>
      </c>
      <c r="P205" s="84" t="e">
        <f t="shared" si="104"/>
        <v>#REF!</v>
      </c>
      <c r="Q205" s="84" t="e">
        <f t="shared" si="104"/>
        <v>#REF!</v>
      </c>
    </row>
    <row r="206" spans="3:17" ht="13.5" thickBot="1" x14ac:dyDescent="0.25">
      <c r="C206" s="114" t="s">
        <v>444</v>
      </c>
      <c r="D206" s="24" t="s">
        <v>497</v>
      </c>
      <c r="E206" s="24"/>
      <c r="F206" s="24"/>
      <c r="G206" s="24"/>
      <c r="H206" s="120" t="e">
        <f>H200-H202-H204</f>
        <v>#REF!</v>
      </c>
      <c r="I206" s="120" t="e">
        <f t="shared" ref="I206:Q206" si="105">I200-I202-I204</f>
        <v>#REF!</v>
      </c>
      <c r="J206" s="120" t="e">
        <f t="shared" si="105"/>
        <v>#REF!</v>
      </c>
      <c r="K206" s="120" t="e">
        <f t="shared" si="105"/>
        <v>#REF!</v>
      </c>
      <c r="L206" s="120" t="e">
        <f t="shared" si="105"/>
        <v>#REF!</v>
      </c>
      <c r="M206" s="120" t="e">
        <f t="shared" si="105"/>
        <v>#REF!</v>
      </c>
      <c r="N206" s="120" t="e">
        <f t="shared" si="105"/>
        <v>#REF!</v>
      </c>
      <c r="O206" s="120" t="e">
        <f t="shared" si="105"/>
        <v>#REF!</v>
      </c>
      <c r="P206" s="120" t="e">
        <f t="shared" si="105"/>
        <v>#REF!</v>
      </c>
      <c r="Q206" s="120" t="e">
        <f t="shared" si="105"/>
        <v>#REF!</v>
      </c>
    </row>
    <row r="207" spans="3:17" ht="13.5" thickBot="1" x14ac:dyDescent="0.25">
      <c r="C207" s="350" t="s">
        <v>463</v>
      </c>
      <c r="D207" s="351" t="s">
        <v>15</v>
      </c>
      <c r="E207" s="352" t="e">
        <f>'тэр районы'!D8</f>
        <v>#REF!</v>
      </c>
      <c r="F207" s="352" t="e">
        <f>'тэр районы'!L8</f>
        <v>#REF!</v>
      </c>
      <c r="G207" s="352" t="e">
        <f>'тэр районы'!T8</f>
        <v>#REF!</v>
      </c>
      <c r="H207" s="352" t="e">
        <f>E207</f>
        <v>#REF!</v>
      </c>
      <c r="I207" s="352" t="e">
        <f t="shared" ref="I207:Q207" si="106">H207</f>
        <v>#REF!</v>
      </c>
      <c r="J207" s="352" t="e">
        <f t="shared" si="106"/>
        <v>#REF!</v>
      </c>
      <c r="K207" s="352" t="e">
        <f t="shared" si="106"/>
        <v>#REF!</v>
      </c>
      <c r="L207" s="352" t="e">
        <f t="shared" si="106"/>
        <v>#REF!</v>
      </c>
      <c r="M207" s="352" t="e">
        <f t="shared" si="106"/>
        <v>#REF!</v>
      </c>
      <c r="N207" s="352" t="e">
        <f t="shared" si="106"/>
        <v>#REF!</v>
      </c>
      <c r="O207" s="352" t="e">
        <f t="shared" si="106"/>
        <v>#REF!</v>
      </c>
      <c r="P207" s="352" t="e">
        <f t="shared" si="106"/>
        <v>#REF!</v>
      </c>
      <c r="Q207" s="352" t="e">
        <f t="shared" si="106"/>
        <v>#REF!</v>
      </c>
    </row>
    <row r="208" spans="3:17" x14ac:dyDescent="0.2">
      <c r="C208" s="349" t="s">
        <v>464</v>
      </c>
      <c r="D208" s="325" t="s">
        <v>439</v>
      </c>
      <c r="E208" s="72"/>
      <c r="F208" s="72"/>
      <c r="G208" s="72"/>
      <c r="H208" s="77" t="e">
        <f>H207*H189/100</f>
        <v>#REF!</v>
      </c>
      <c r="I208" s="77" t="e">
        <f t="shared" ref="I208:Q208" si="107">I207*I189/100</f>
        <v>#REF!</v>
      </c>
      <c r="J208" s="77" t="e">
        <f t="shared" si="107"/>
        <v>#REF!</v>
      </c>
      <c r="K208" s="77" t="e">
        <f t="shared" si="107"/>
        <v>#REF!</v>
      </c>
      <c r="L208" s="77" t="e">
        <f t="shared" si="107"/>
        <v>#REF!</v>
      </c>
      <c r="M208" s="77" t="e">
        <f t="shared" si="107"/>
        <v>#REF!</v>
      </c>
      <c r="N208" s="77" t="e">
        <f t="shared" si="107"/>
        <v>#REF!</v>
      </c>
      <c r="O208" s="77" t="e">
        <f t="shared" si="107"/>
        <v>#REF!</v>
      </c>
      <c r="P208" s="77" t="e">
        <f t="shared" si="107"/>
        <v>#REF!</v>
      </c>
      <c r="Q208" s="77" t="e">
        <f t="shared" si="107"/>
        <v>#REF!</v>
      </c>
    </row>
    <row r="209" spans="3:18" x14ac:dyDescent="0.2">
      <c r="C209" s="121" t="s">
        <v>466</v>
      </c>
      <c r="D209" s="122" t="s">
        <v>465</v>
      </c>
      <c r="E209" s="3"/>
      <c r="F209" s="3"/>
      <c r="G209" s="3"/>
      <c r="H209" s="123" t="e">
        <f>H208*1000/1.137</f>
        <v>#REF!</v>
      </c>
      <c r="I209" s="123" t="e">
        <f t="shared" ref="I209:P209" si="108">I208*1000/1.137</f>
        <v>#REF!</v>
      </c>
      <c r="J209" s="123" t="e">
        <f t="shared" si="108"/>
        <v>#REF!</v>
      </c>
      <c r="K209" s="123" t="e">
        <f t="shared" si="108"/>
        <v>#REF!</v>
      </c>
      <c r="L209" s="123" t="e">
        <f t="shared" si="108"/>
        <v>#REF!</v>
      </c>
      <c r="M209" s="123" t="e">
        <f t="shared" si="108"/>
        <v>#REF!</v>
      </c>
      <c r="N209" s="123" t="e">
        <f t="shared" si="108"/>
        <v>#REF!</v>
      </c>
      <c r="O209" s="123" t="e">
        <f t="shared" si="108"/>
        <v>#REF!</v>
      </c>
      <c r="P209" s="123" t="e">
        <f t="shared" si="108"/>
        <v>#REF!</v>
      </c>
      <c r="Q209" s="280" t="e">
        <f>Q208*1000/1.137</f>
        <v>#REF!</v>
      </c>
      <c r="R209" s="360" t="e">
        <f>'тэр районы'!AB20</f>
        <v>#REF!</v>
      </c>
    </row>
    <row r="210" spans="3:18" x14ac:dyDescent="0.2">
      <c r="C210" s="112" t="s">
        <v>442</v>
      </c>
      <c r="D210" s="3" t="s">
        <v>440</v>
      </c>
      <c r="E210" s="3"/>
      <c r="F210" s="3"/>
      <c r="G210" s="3"/>
      <c r="H210" s="84"/>
      <c r="I210" s="84"/>
      <c r="J210" s="84"/>
      <c r="K210" s="84"/>
      <c r="L210" s="84"/>
      <c r="M210" s="84"/>
      <c r="N210" s="84"/>
      <c r="O210" s="84"/>
      <c r="P210" s="84"/>
      <c r="Q210" s="117"/>
    </row>
    <row r="211" spans="3:18" x14ac:dyDescent="0.2">
      <c r="C211" s="112" t="s">
        <v>443</v>
      </c>
      <c r="D211" s="3" t="s">
        <v>440</v>
      </c>
      <c r="E211" s="3"/>
      <c r="F211" s="3"/>
      <c r="G211" s="3"/>
      <c r="H211" s="84"/>
      <c r="I211" s="84"/>
      <c r="J211" s="84"/>
      <c r="K211" s="84"/>
      <c r="L211" s="84"/>
      <c r="M211" s="84"/>
      <c r="N211" s="84"/>
      <c r="O211" s="84"/>
      <c r="P211" s="84"/>
      <c r="Q211" s="117"/>
    </row>
    <row r="212" spans="3:18" x14ac:dyDescent="0.2">
      <c r="C212" s="112" t="s">
        <v>443</v>
      </c>
      <c r="D212" s="3" t="s">
        <v>468</v>
      </c>
      <c r="E212" s="3"/>
      <c r="F212" s="3"/>
      <c r="G212" s="3"/>
      <c r="H212" s="84"/>
      <c r="I212" s="84"/>
      <c r="J212" s="84"/>
      <c r="K212" s="84"/>
      <c r="L212" s="84"/>
      <c r="M212" s="84"/>
      <c r="N212" s="84"/>
      <c r="O212" s="84"/>
      <c r="P212" s="84"/>
      <c r="Q212" s="117"/>
    </row>
    <row r="213" spans="3:18" ht="13.5" thickBot="1" x14ac:dyDescent="0.25">
      <c r="C213" s="115" t="s">
        <v>444</v>
      </c>
      <c r="D213" s="57" t="s">
        <v>440</v>
      </c>
      <c r="E213" s="57"/>
      <c r="F213" s="57"/>
      <c r="G213" s="57"/>
      <c r="H213" s="344"/>
      <c r="I213" s="344"/>
      <c r="J213" s="344"/>
      <c r="K213" s="344"/>
      <c r="L213" s="344"/>
      <c r="M213" s="344"/>
      <c r="N213" s="344"/>
      <c r="O213" s="344"/>
      <c r="P213" s="344"/>
      <c r="Q213" s="345"/>
    </row>
    <row r="214" spans="3:18" ht="13.5" thickBot="1" x14ac:dyDescent="0.25">
      <c r="C214" s="350" t="s">
        <v>449</v>
      </c>
      <c r="D214" s="351" t="s">
        <v>450</v>
      </c>
      <c r="E214" s="352" t="e">
        <f>'тэр районы'!D14</f>
        <v>#REF!</v>
      </c>
      <c r="F214" s="352" t="e">
        <f>'тэр районы'!L14</f>
        <v>#REF!</v>
      </c>
      <c r="G214" s="352" t="e">
        <f>'тэр районы'!T14</f>
        <v>#REF!</v>
      </c>
      <c r="H214" s="352" t="e">
        <f>E214</f>
        <v>#REF!</v>
      </c>
      <c r="I214" s="352" t="e">
        <f>H214</f>
        <v>#REF!</v>
      </c>
      <c r="J214" s="352" t="e">
        <f t="shared" ref="J214:Q214" si="109">I214</f>
        <v>#REF!</v>
      </c>
      <c r="K214" s="352" t="e">
        <f t="shared" si="109"/>
        <v>#REF!</v>
      </c>
      <c r="L214" s="352" t="e">
        <f t="shared" si="109"/>
        <v>#REF!</v>
      </c>
      <c r="M214" s="352" t="e">
        <f>L214</f>
        <v>#REF!</v>
      </c>
      <c r="N214" s="352" t="e">
        <f t="shared" si="109"/>
        <v>#REF!</v>
      </c>
      <c r="O214" s="352" t="e">
        <f t="shared" si="109"/>
        <v>#REF!</v>
      </c>
      <c r="P214" s="352" t="e">
        <f t="shared" si="109"/>
        <v>#REF!</v>
      </c>
      <c r="Q214" s="352" t="e">
        <f t="shared" si="109"/>
        <v>#REF!</v>
      </c>
    </row>
    <row r="215" spans="3:18" x14ac:dyDescent="0.2">
      <c r="C215" s="353"/>
      <c r="D215" s="333" t="s">
        <v>439</v>
      </c>
      <c r="F215" s="72"/>
      <c r="G215" s="72"/>
      <c r="H215" s="77" t="e">
        <f>H189*H214/100</f>
        <v>#REF!</v>
      </c>
      <c r="I215" s="77" t="e">
        <f t="shared" ref="I215:Q215" si="110">I189*I214/100</f>
        <v>#REF!</v>
      </c>
      <c r="J215" s="77" t="e">
        <f t="shared" si="110"/>
        <v>#REF!</v>
      </c>
      <c r="K215" s="77" t="e">
        <f t="shared" si="110"/>
        <v>#REF!</v>
      </c>
      <c r="L215" s="77" t="e">
        <f t="shared" si="110"/>
        <v>#REF!</v>
      </c>
      <c r="M215" s="77" t="e">
        <f t="shared" si="110"/>
        <v>#REF!</v>
      </c>
      <c r="N215" s="77" t="e">
        <f t="shared" si="110"/>
        <v>#REF!</v>
      </c>
      <c r="O215" s="77" t="e">
        <f t="shared" si="110"/>
        <v>#REF!</v>
      </c>
      <c r="P215" s="77" t="e">
        <f t="shared" si="110"/>
        <v>#REF!</v>
      </c>
      <c r="Q215" s="77" t="e">
        <f t="shared" si="110"/>
        <v>#REF!</v>
      </c>
    </row>
    <row r="216" spans="3:18" x14ac:dyDescent="0.2">
      <c r="C216" s="346" t="s">
        <v>451</v>
      </c>
      <c r="D216" s="347" t="s">
        <v>468</v>
      </c>
      <c r="E216" s="347"/>
      <c r="F216" s="347"/>
      <c r="G216" s="347"/>
      <c r="H216" s="348" t="e">
        <f>H215*1000/1.137</f>
        <v>#REF!</v>
      </c>
      <c r="I216" s="348" t="e">
        <f t="shared" ref="I216:Q216" si="111">I215*1000/1.137</f>
        <v>#REF!</v>
      </c>
      <c r="J216" s="348" t="e">
        <f t="shared" si="111"/>
        <v>#REF!</v>
      </c>
      <c r="K216" s="348" t="e">
        <f t="shared" si="111"/>
        <v>#REF!</v>
      </c>
      <c r="L216" s="348" t="e">
        <f t="shared" si="111"/>
        <v>#REF!</v>
      </c>
      <c r="M216" s="348" t="e">
        <f t="shared" si="111"/>
        <v>#REF!</v>
      </c>
      <c r="N216" s="348" t="e">
        <f t="shared" si="111"/>
        <v>#REF!</v>
      </c>
      <c r="O216" s="348" t="e">
        <f t="shared" si="111"/>
        <v>#REF!</v>
      </c>
      <c r="P216" s="348" t="e">
        <f t="shared" si="111"/>
        <v>#REF!</v>
      </c>
      <c r="Q216" s="348" t="e">
        <f t="shared" si="111"/>
        <v>#REF!</v>
      </c>
    </row>
    <row r="217" spans="3:18" x14ac:dyDescent="0.2">
      <c r="C217" s="6"/>
      <c r="D217" s="3"/>
      <c r="E217" s="3"/>
      <c r="F217" s="3"/>
      <c r="G217" s="3"/>
      <c r="H217" s="84"/>
      <c r="I217" s="84"/>
      <c r="J217" s="84"/>
      <c r="K217" s="84"/>
      <c r="L217" s="84"/>
      <c r="M217" s="84"/>
      <c r="N217" s="84"/>
      <c r="O217" s="84"/>
      <c r="P217" s="84"/>
      <c r="Q217" s="84"/>
    </row>
    <row r="218" spans="3:18" ht="13.5" thickBot="1" x14ac:dyDescent="0.25">
      <c r="C218" s="67"/>
      <c r="D218" s="57"/>
      <c r="E218" s="57"/>
      <c r="F218" s="57"/>
      <c r="G218" s="57"/>
      <c r="H218" s="344"/>
      <c r="I218" s="344"/>
      <c r="J218" s="344"/>
      <c r="K218" s="344"/>
      <c r="L218" s="344"/>
      <c r="M218" s="344"/>
      <c r="N218" s="344"/>
      <c r="O218" s="344"/>
      <c r="P218" s="344"/>
      <c r="Q218" s="344"/>
    </row>
    <row r="219" spans="3:18" ht="13.5" thickBot="1" x14ac:dyDescent="0.25">
      <c r="C219" s="350" t="s">
        <v>452</v>
      </c>
      <c r="D219" s="351" t="s">
        <v>453</v>
      </c>
      <c r="E219" s="351"/>
      <c r="F219" s="351"/>
      <c r="G219" s="351"/>
      <c r="H219" s="352" t="e">
        <f>H189-H191-H208-H215</f>
        <v>#REF!</v>
      </c>
      <c r="I219" s="352" t="e">
        <f t="shared" ref="I219:P219" si="112">I189-I191-I208-I215</f>
        <v>#REF!</v>
      </c>
      <c r="J219" s="352" t="e">
        <f t="shared" si="112"/>
        <v>#REF!</v>
      </c>
      <c r="K219" s="352" t="e">
        <f t="shared" si="112"/>
        <v>#REF!</v>
      </c>
      <c r="L219" s="352" t="e">
        <f t="shared" si="112"/>
        <v>#REF!</v>
      </c>
      <c r="M219" s="352" t="e">
        <f t="shared" si="112"/>
        <v>#REF!</v>
      </c>
      <c r="N219" s="352" t="e">
        <f t="shared" si="112"/>
        <v>#REF!</v>
      </c>
      <c r="O219" s="352" t="e">
        <f t="shared" si="112"/>
        <v>#REF!</v>
      </c>
      <c r="P219" s="352" t="e">
        <f t="shared" si="112"/>
        <v>#REF!</v>
      </c>
      <c r="Q219" s="352" t="e">
        <f>Q189-Q191-Q208-Q215</f>
        <v>#REF!</v>
      </c>
    </row>
    <row r="220" spans="3:18" x14ac:dyDescent="0.2">
      <c r="C220" s="90"/>
      <c r="D220" s="124"/>
      <c r="E220" s="124"/>
      <c r="F220" s="124"/>
      <c r="G220" s="124"/>
      <c r="H220" s="125"/>
      <c r="I220" s="125"/>
      <c r="J220" s="125"/>
      <c r="K220" s="125"/>
      <c r="L220" s="125"/>
      <c r="M220" s="125"/>
      <c r="N220" s="125"/>
      <c r="O220" s="125"/>
      <c r="P220" s="125"/>
      <c r="Q220" s="126"/>
    </row>
    <row r="221" spans="3:18" ht="13.5" thickBot="1" x14ac:dyDescent="0.25">
      <c r="C221" s="90"/>
      <c r="D221" s="124"/>
      <c r="E221" s="124"/>
      <c r="F221" s="124"/>
      <c r="G221" s="124"/>
      <c r="H221" s="125"/>
      <c r="I221" s="125"/>
      <c r="J221" s="125"/>
      <c r="K221" s="125"/>
      <c r="L221" s="125"/>
      <c r="M221" s="125"/>
      <c r="N221" s="125"/>
      <c r="O221" s="125"/>
      <c r="P221" s="125"/>
      <c r="Q221" s="126"/>
    </row>
    <row r="222" spans="3:18" ht="16.5" thickBot="1" x14ac:dyDescent="0.3">
      <c r="C222" s="129" t="s">
        <v>392</v>
      </c>
      <c r="D222" s="130" t="str">
        <f>D46</f>
        <v>куб.м</v>
      </c>
      <c r="E222" s="205" t="e">
        <f>E46</f>
        <v>#REF!</v>
      </c>
      <c r="F222" s="205" t="e">
        <f t="shared" ref="F222:Q222" si="113">F46</f>
        <v>#REF!</v>
      </c>
      <c r="G222" s="205" t="e">
        <f t="shared" si="113"/>
        <v>#REF!</v>
      </c>
      <c r="H222" s="205" t="e">
        <f t="shared" si="113"/>
        <v>#REF!</v>
      </c>
      <c r="I222" s="205" t="e">
        <f t="shared" si="113"/>
        <v>#REF!</v>
      </c>
      <c r="J222" s="205" t="e">
        <f t="shared" si="113"/>
        <v>#REF!</v>
      </c>
      <c r="K222" s="205" t="e">
        <f t="shared" si="113"/>
        <v>#REF!</v>
      </c>
      <c r="L222" s="205" t="e">
        <f t="shared" si="113"/>
        <v>#REF!</v>
      </c>
      <c r="M222" s="205" t="e">
        <f t="shared" si="113"/>
        <v>#REF!</v>
      </c>
      <c r="N222" s="205" t="e">
        <f t="shared" si="113"/>
        <v>#REF!</v>
      </c>
      <c r="O222" s="205" t="e">
        <f t="shared" si="113"/>
        <v>#REF!</v>
      </c>
      <c r="P222" s="205" t="e">
        <f t="shared" si="113"/>
        <v>#REF!</v>
      </c>
      <c r="Q222" s="206" t="e">
        <f t="shared" si="113"/>
        <v>#REF!</v>
      </c>
    </row>
    <row r="223" spans="3:18" ht="32.25" thickBot="1" x14ac:dyDescent="0.3">
      <c r="C223" s="201" t="s">
        <v>604</v>
      </c>
      <c r="D223" s="203" t="s">
        <v>605</v>
      </c>
      <c r="E223" s="207"/>
      <c r="F223" s="130"/>
      <c r="G223" s="130"/>
      <c r="H223" s="130" t="e">
        <f>(G222-H222)/1000</f>
        <v>#REF!</v>
      </c>
      <c r="I223" s="130" t="e">
        <f t="shared" ref="I223:Q223" si="114">(H222-I222)/1000</f>
        <v>#REF!</v>
      </c>
      <c r="J223" s="130" t="e">
        <f t="shared" si="114"/>
        <v>#REF!</v>
      </c>
      <c r="K223" s="130" t="e">
        <f t="shared" si="114"/>
        <v>#REF!</v>
      </c>
      <c r="L223" s="130" t="e">
        <f t="shared" si="114"/>
        <v>#REF!</v>
      </c>
      <c r="M223" s="130" t="e">
        <f t="shared" si="114"/>
        <v>#REF!</v>
      </c>
      <c r="N223" s="130" t="e">
        <f t="shared" si="114"/>
        <v>#REF!</v>
      </c>
      <c r="O223" s="130" t="e">
        <f t="shared" si="114"/>
        <v>#REF!</v>
      </c>
      <c r="P223" s="130" t="e">
        <f t="shared" si="114"/>
        <v>#REF!</v>
      </c>
      <c r="Q223" s="130" t="e">
        <f t="shared" si="114"/>
        <v>#REF!</v>
      </c>
    </row>
    <row r="224" spans="3:18" ht="48" thickBot="1" x14ac:dyDescent="0.3">
      <c r="C224" s="201" t="s">
        <v>447</v>
      </c>
      <c r="D224" s="203" t="s">
        <v>605</v>
      </c>
      <c r="E224" s="208"/>
      <c r="F224" s="16"/>
      <c r="G224" s="16"/>
      <c r="H224" s="202" t="e">
        <f>H182/1000</f>
        <v>#REF!</v>
      </c>
      <c r="I224" s="202" t="e">
        <f t="shared" ref="I224:Q224" si="115">I182/1000</f>
        <v>#REF!</v>
      </c>
      <c r="J224" s="202" t="e">
        <f t="shared" si="115"/>
        <v>#REF!</v>
      </c>
      <c r="K224" s="202" t="e">
        <f t="shared" si="115"/>
        <v>#REF!</v>
      </c>
      <c r="L224" s="202" t="e">
        <f t="shared" si="115"/>
        <v>#REF!</v>
      </c>
      <c r="M224" s="202" t="e">
        <f t="shared" si="115"/>
        <v>#REF!</v>
      </c>
      <c r="N224" s="202" t="e">
        <f t="shared" si="115"/>
        <v>#REF!</v>
      </c>
      <c r="O224" s="202" t="e">
        <f t="shared" si="115"/>
        <v>#REF!</v>
      </c>
      <c r="P224" s="202" t="e">
        <f t="shared" si="115"/>
        <v>#REF!</v>
      </c>
      <c r="Q224" s="209" t="e">
        <f t="shared" si="115"/>
        <v>#REF!</v>
      </c>
    </row>
    <row r="225" spans="3:18" ht="48" thickBot="1" x14ac:dyDescent="0.3">
      <c r="C225" s="131" t="s">
        <v>448</v>
      </c>
      <c r="D225" s="204" t="s">
        <v>469</v>
      </c>
      <c r="E225" s="210"/>
      <c r="F225" s="211"/>
      <c r="G225" s="211"/>
      <c r="H225" s="212" t="e">
        <f>H223+H224</f>
        <v>#REF!</v>
      </c>
      <c r="I225" s="212" t="e">
        <f t="shared" ref="I225:Q225" si="116">I223+I224</f>
        <v>#REF!</v>
      </c>
      <c r="J225" s="212" t="e">
        <f t="shared" si="116"/>
        <v>#REF!</v>
      </c>
      <c r="K225" s="212" t="e">
        <f t="shared" si="116"/>
        <v>#REF!</v>
      </c>
      <c r="L225" s="212" t="e">
        <f t="shared" si="116"/>
        <v>#REF!</v>
      </c>
      <c r="M225" s="212" t="e">
        <f t="shared" si="116"/>
        <v>#REF!</v>
      </c>
      <c r="N225" s="212" t="e">
        <f t="shared" si="116"/>
        <v>#REF!</v>
      </c>
      <c r="O225" s="212" t="e">
        <f t="shared" si="116"/>
        <v>#REF!</v>
      </c>
      <c r="P225" s="212" t="e">
        <f t="shared" si="116"/>
        <v>#REF!</v>
      </c>
      <c r="Q225" s="213" t="e">
        <f t="shared" si="116"/>
        <v>#REF!</v>
      </c>
    </row>
    <row r="226" spans="3:18" ht="15.75" x14ac:dyDescent="0.25">
      <c r="C226" s="127"/>
      <c r="D226" s="128"/>
      <c r="E226" s="128"/>
      <c r="F226" s="128"/>
      <c r="G226" s="128"/>
      <c r="H226" s="128"/>
      <c r="I226" s="132" t="e">
        <f>I224-H224</f>
        <v>#REF!</v>
      </c>
      <c r="J226" s="128"/>
      <c r="K226" s="128"/>
      <c r="L226" s="128"/>
      <c r="M226" s="128"/>
      <c r="N226" s="128"/>
      <c r="O226" s="128"/>
      <c r="P226" s="128"/>
      <c r="Q226" s="128"/>
    </row>
    <row r="227" spans="3:18" ht="15.75" x14ac:dyDescent="0.25">
      <c r="C227" s="127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</row>
    <row r="228" spans="3:18" ht="15.75" x14ac:dyDescent="0.25">
      <c r="C228" s="127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</row>
    <row r="229" spans="3:18" ht="15.75" x14ac:dyDescent="0.25">
      <c r="C229" s="127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</row>
    <row r="230" spans="3:18" ht="15.75" x14ac:dyDescent="0.25">
      <c r="C230" s="127"/>
      <c r="D230" s="128"/>
      <c r="E230" s="128"/>
      <c r="F230" s="128"/>
      <c r="G230" s="128"/>
      <c r="H230" s="132" t="e">
        <f t="shared" ref="H230:P230" si="117">H190-G190</f>
        <v>#REF!</v>
      </c>
      <c r="I230" s="132" t="e">
        <f t="shared" si="117"/>
        <v>#REF!</v>
      </c>
      <c r="J230" s="132" t="e">
        <f t="shared" si="117"/>
        <v>#REF!</v>
      </c>
      <c r="K230" s="132" t="e">
        <f t="shared" si="117"/>
        <v>#REF!</v>
      </c>
      <c r="L230" s="132" t="e">
        <f t="shared" si="117"/>
        <v>#REF!</v>
      </c>
      <c r="M230" s="132" t="e">
        <f t="shared" si="117"/>
        <v>#REF!</v>
      </c>
      <c r="N230" s="132" t="e">
        <f t="shared" si="117"/>
        <v>#REF!</v>
      </c>
      <c r="O230" s="132" t="e">
        <f t="shared" si="117"/>
        <v>#REF!</v>
      </c>
      <c r="P230" s="132" t="e">
        <f t="shared" si="117"/>
        <v>#REF!</v>
      </c>
      <c r="Q230" s="132" t="e">
        <f>Q190-P190</f>
        <v>#REF!</v>
      </c>
      <c r="R230" s="79" t="e">
        <f>SUM(H230:Q230)</f>
        <v>#REF!</v>
      </c>
    </row>
    <row r="231" spans="3:18" ht="15.75" x14ac:dyDescent="0.25">
      <c r="C231" s="127"/>
      <c r="D231" s="128"/>
      <c r="E231" s="128"/>
      <c r="F231" s="128"/>
      <c r="G231" s="128"/>
      <c r="H231" s="132"/>
      <c r="I231" s="132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 s="79">
        <f>SUM(I231:Q231)</f>
        <v>0</v>
      </c>
    </row>
    <row r="232" spans="3:18" ht="15.75" x14ac:dyDescent="0.25">
      <c r="C232" s="127"/>
      <c r="D232" s="128"/>
      <c r="E232" s="128"/>
      <c r="F232" s="128"/>
      <c r="G232" s="128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</row>
    <row r="233" spans="3:18" ht="13.5" thickBot="1" x14ac:dyDescent="0.25">
      <c r="C233" s="90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</row>
    <row r="234" spans="3:18" ht="13.5" thickBot="1" x14ac:dyDescent="0.25">
      <c r="C234" s="2" t="s">
        <v>473</v>
      </c>
      <c r="G234" s="92" t="s">
        <v>457</v>
      </c>
      <c r="H234" s="93">
        <v>0</v>
      </c>
    </row>
    <row r="235" spans="3:18" x14ac:dyDescent="0.2">
      <c r="E235">
        <v>2007</v>
      </c>
      <c r="F235">
        <v>2008</v>
      </c>
      <c r="G235">
        <v>2009</v>
      </c>
      <c r="H235">
        <v>2010</v>
      </c>
      <c r="I235">
        <v>2011</v>
      </c>
      <c r="J235">
        <v>2012</v>
      </c>
      <c r="K235">
        <v>2013</v>
      </c>
      <c r="L235">
        <v>2014</v>
      </c>
      <c r="M235">
        <v>2015</v>
      </c>
      <c r="N235">
        <v>2016</v>
      </c>
      <c r="O235">
        <v>2017</v>
      </c>
      <c r="P235">
        <v>2018</v>
      </c>
      <c r="Q235">
        <v>2019</v>
      </c>
    </row>
    <row r="236" spans="3:18" x14ac:dyDescent="0.2">
      <c r="C236" s="6" t="s">
        <v>456</v>
      </c>
      <c r="D236" s="3" t="s">
        <v>435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84">
        <v>0</v>
      </c>
      <c r="K236" s="84">
        <f>$E$236-($E$236-$L$236)*0.528</f>
        <v>0</v>
      </c>
      <c r="L236" s="3">
        <v>0</v>
      </c>
      <c r="M236" s="3"/>
      <c r="N236" s="3"/>
      <c r="O236" s="3"/>
      <c r="P236" s="3"/>
      <c r="Q236" s="3"/>
    </row>
    <row r="237" spans="3:18" x14ac:dyDescent="0.2">
      <c r="C237" s="6" t="s">
        <v>445</v>
      </c>
      <c r="D237" s="3" t="s">
        <v>435</v>
      </c>
      <c r="E237" s="3"/>
      <c r="F237" s="3"/>
      <c r="G237" s="3"/>
      <c r="H237" s="3"/>
      <c r="I237" s="3">
        <f>$E$236-I236</f>
        <v>0</v>
      </c>
      <c r="J237" s="3">
        <f>$E$236-J236</f>
        <v>0</v>
      </c>
      <c r="K237" s="3">
        <f>$E$236-K236</f>
        <v>0</v>
      </c>
      <c r="L237" s="3">
        <f>$E$236-L236</f>
        <v>0</v>
      </c>
      <c r="M237" s="3"/>
      <c r="N237" s="3"/>
      <c r="O237" s="3"/>
      <c r="P237" s="3"/>
      <c r="Q237" s="3"/>
    </row>
    <row r="238" spans="3:18" x14ac:dyDescent="0.2">
      <c r="C238" s="6"/>
      <c r="D238" s="3" t="s">
        <v>439</v>
      </c>
      <c r="E238" s="3"/>
      <c r="F238" s="3"/>
      <c r="G238" s="3"/>
      <c r="H238" s="3"/>
      <c r="I238" s="3">
        <f>I237*0.123/1000</f>
        <v>0</v>
      </c>
      <c r="J238" s="3">
        <f t="shared" ref="J238:Q238" si="118">J237*0.123/1000</f>
        <v>0</v>
      </c>
      <c r="K238" s="3">
        <f t="shared" si="118"/>
        <v>0</v>
      </c>
      <c r="L238" s="3">
        <f t="shared" si="118"/>
        <v>0</v>
      </c>
      <c r="M238" s="3">
        <f t="shared" si="118"/>
        <v>0</v>
      </c>
      <c r="N238" s="3">
        <f t="shared" si="118"/>
        <v>0</v>
      </c>
      <c r="O238" s="3">
        <f t="shared" si="118"/>
        <v>0</v>
      </c>
      <c r="P238" s="3">
        <f t="shared" si="118"/>
        <v>0</v>
      </c>
      <c r="Q238" s="3">
        <f t="shared" si="118"/>
        <v>0</v>
      </c>
    </row>
    <row r="239" spans="3:18" x14ac:dyDescent="0.2">
      <c r="C239" s="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</sheetData>
  <sheetProtection password="CF6E" sheet="1" objects="1" scenarios="1" selectLockedCells="1" selectUnlockedCells="1"/>
  <mergeCells count="4">
    <mergeCell ref="E16:G16"/>
    <mergeCell ref="B141:B152"/>
    <mergeCell ref="B154:B160"/>
    <mergeCell ref="A1:J1"/>
  </mergeCells>
  <phoneticPr fontId="0" type="noConversion"/>
  <pageMargins left="0.75" right="0.75" top="1" bottom="1" header="0.5" footer="0.5"/>
  <pageSetup paperSize="9" orientation="portrait" verticalDpi="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3"/>
  <sheetViews>
    <sheetView topLeftCell="A7" zoomScale="75" workbookViewId="0">
      <selection activeCell="I12" sqref="I12"/>
    </sheetView>
  </sheetViews>
  <sheetFormatPr defaultRowHeight="14.25" x14ac:dyDescent="0.2"/>
  <cols>
    <col min="1" max="1" width="9.140625" style="134"/>
    <col min="2" max="2" width="25.28515625" style="134" hidden="1" customWidth="1"/>
    <col min="3" max="3" width="15.140625" style="197" customWidth="1"/>
    <col min="4" max="4" width="29.42578125" style="134" customWidth="1"/>
    <col min="5" max="6" width="9.140625" style="134"/>
    <col min="7" max="7" width="10.140625" style="134" hidden="1" customWidth="1"/>
    <col min="8" max="8" width="9.28515625" style="134" customWidth="1"/>
    <col min="9" max="9" width="9.140625" style="134"/>
    <col min="10" max="10" width="9.85546875" style="134" customWidth="1"/>
    <col min="11" max="11" width="9.28515625" style="134" customWidth="1"/>
    <col min="12" max="12" width="8.85546875" style="134" customWidth="1"/>
    <col min="13" max="13" width="9" style="134" customWidth="1"/>
    <col min="14" max="14" width="9.42578125" style="134" customWidth="1"/>
    <col min="15" max="15" width="9.7109375" style="134" customWidth="1"/>
    <col min="16" max="16" width="9.5703125" style="134" customWidth="1"/>
    <col min="17" max="17" width="8.85546875" style="134" customWidth="1"/>
    <col min="18" max="18" width="9.140625" style="134"/>
    <col min="19" max="19" width="15" style="134" customWidth="1"/>
    <col min="20" max="20" width="12.5703125" style="134" customWidth="1"/>
    <col min="21" max="16384" width="9.140625" style="134"/>
  </cols>
  <sheetData>
    <row r="2" spans="1:20" ht="15" thickBot="1" x14ac:dyDescent="0.25"/>
    <row r="3" spans="1:20" ht="15" thickBot="1" x14ac:dyDescent="0.25">
      <c r="A3" s="675" t="s">
        <v>6</v>
      </c>
      <c r="B3" s="675" t="s">
        <v>7</v>
      </c>
      <c r="C3" s="675" t="s">
        <v>8</v>
      </c>
      <c r="D3" s="135" t="s">
        <v>9</v>
      </c>
      <c r="E3" s="669" t="s">
        <v>10</v>
      </c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1"/>
      <c r="S3" s="675" t="s">
        <v>11</v>
      </c>
    </row>
    <row r="4" spans="1:20" ht="44.25" customHeight="1" thickBot="1" x14ac:dyDescent="0.25">
      <c r="A4" s="676"/>
      <c r="B4" s="676"/>
      <c r="C4" s="676"/>
      <c r="D4" s="136" t="s">
        <v>471</v>
      </c>
      <c r="E4" s="136">
        <v>2007</v>
      </c>
      <c r="F4" s="136">
        <v>2008</v>
      </c>
      <c r="G4" s="136">
        <v>2009</v>
      </c>
      <c r="H4" s="136">
        <v>2010</v>
      </c>
      <c r="I4" s="136">
        <v>2011</v>
      </c>
      <c r="J4" s="136">
        <v>2012</v>
      </c>
      <c r="K4" s="136">
        <v>2013</v>
      </c>
      <c r="L4" s="136">
        <v>2014</v>
      </c>
      <c r="M4" s="136">
        <v>2015</v>
      </c>
      <c r="N4" s="136">
        <v>2016</v>
      </c>
      <c r="O4" s="136">
        <v>2017</v>
      </c>
      <c r="P4" s="136">
        <v>2018</v>
      </c>
      <c r="Q4" s="136">
        <v>2019</v>
      </c>
      <c r="R4" s="136">
        <v>2020</v>
      </c>
      <c r="S4" s="676"/>
    </row>
    <row r="5" spans="1:20" ht="15.75" thickBot="1" x14ac:dyDescent="0.25">
      <c r="A5" s="137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  <c r="K5" s="133">
        <v>11</v>
      </c>
      <c r="L5" s="133">
        <v>12</v>
      </c>
      <c r="M5" s="133">
        <v>13</v>
      </c>
      <c r="N5" s="133">
        <v>14</v>
      </c>
      <c r="O5" s="133">
        <v>15</v>
      </c>
      <c r="P5" s="133">
        <v>16</v>
      </c>
      <c r="Q5" s="133">
        <v>17</v>
      </c>
      <c r="R5" s="133">
        <v>18</v>
      </c>
      <c r="S5" s="133">
        <v>19</v>
      </c>
    </row>
    <row r="6" spans="1:20" ht="31.5" customHeight="1" thickBot="1" x14ac:dyDescent="0.25">
      <c r="A6" s="669" t="s">
        <v>12</v>
      </c>
      <c r="B6" s="670"/>
      <c r="C6" s="670"/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  <c r="O6" s="670"/>
      <c r="P6" s="670"/>
      <c r="Q6" s="670"/>
      <c r="R6" s="670"/>
      <c r="S6" s="671"/>
    </row>
    <row r="7" spans="1:20" ht="161.25" customHeight="1" thickBot="1" x14ac:dyDescent="0.25">
      <c r="A7" s="137" t="s">
        <v>13</v>
      </c>
      <c r="B7" s="133" t="s">
        <v>14</v>
      </c>
      <c r="C7" s="133" t="s">
        <v>15</v>
      </c>
      <c r="D7" s="133" t="s">
        <v>16</v>
      </c>
      <c r="E7" s="138" t="e">
        <f>((#REF!/#REF!)/(#REF!/#REF!))*100</f>
        <v>#REF!</v>
      </c>
      <c r="F7" s="138" t="e">
        <f>((#REF!/#REF!)/(#REF!/#REF!))*100</f>
        <v>#REF!</v>
      </c>
      <c r="G7" s="138" t="e">
        <f>((#REF!/#REF!)/(#REF!/#REF!))*100</f>
        <v>#REF!</v>
      </c>
      <c r="H7" s="138" t="e">
        <f>((#REF!/#REF!)/(#REF!/#REF!))*100</f>
        <v>#REF!</v>
      </c>
      <c r="I7" s="138" t="e">
        <f>((#REF!/#REF!)/(#REF!/#REF!))*100</f>
        <v>#REF!</v>
      </c>
      <c r="J7" s="138" t="e">
        <f>((#REF!/#REF!)/(#REF!/#REF!))*100</f>
        <v>#REF!</v>
      </c>
      <c r="K7" s="138" t="e">
        <f>((#REF!/#REF!)/(#REF!/#REF!))*100</f>
        <v>#REF!</v>
      </c>
      <c r="L7" s="138" t="e">
        <f>((#REF!/#REF!)/(#REF!/#REF!))*100</f>
        <v>#REF!</v>
      </c>
      <c r="M7" s="138" t="e">
        <f>((#REF!/#REF!)/(#REF!/#REF!))*100</f>
        <v>#REF!</v>
      </c>
      <c r="N7" s="138" t="e">
        <f>((#REF!/#REF!)/(#REF!/#REF!))*100</f>
        <v>#REF!</v>
      </c>
      <c r="O7" s="138" t="e">
        <f>((#REF!/#REF!)/(#REF!/#REF!))*100</f>
        <v>#REF!</v>
      </c>
      <c r="P7" s="138" t="e">
        <f>((#REF!/#REF!)/(#REF!/#REF!))*100</f>
        <v>#REF!</v>
      </c>
      <c r="Q7" s="138" t="e">
        <f>((#REF!/#REF!)/(#REF!/#REF!))*100</f>
        <v>#REF!</v>
      </c>
      <c r="R7" s="133"/>
      <c r="S7" s="133" t="s">
        <v>17</v>
      </c>
    </row>
    <row r="8" spans="1:20" ht="174" customHeight="1" thickBot="1" x14ac:dyDescent="0.25">
      <c r="A8" s="137" t="s">
        <v>18</v>
      </c>
      <c r="B8" s="133" t="s">
        <v>19</v>
      </c>
      <c r="C8" s="133" t="s">
        <v>15</v>
      </c>
      <c r="D8" s="133" t="s">
        <v>20</v>
      </c>
      <c r="E8" s="138" t="e">
        <f>#REF!/#REF!*100</f>
        <v>#REF!</v>
      </c>
      <c r="F8" s="138" t="e">
        <f>#REF!/#REF!*100</f>
        <v>#REF!</v>
      </c>
      <c r="G8" s="182" t="e">
        <f>#REF!/#REF!*100</f>
        <v>#REF!</v>
      </c>
      <c r="H8" s="182" t="e">
        <f>#REF!/#REF!*100</f>
        <v>#REF!</v>
      </c>
      <c r="I8" s="138" t="e">
        <f>#REF!/#REF!*100</f>
        <v>#REF!</v>
      </c>
      <c r="J8" s="133" t="e">
        <f>#REF!/#REF!*100</f>
        <v>#REF!</v>
      </c>
      <c r="K8" s="133" t="e">
        <f>#REF!/#REF!*100</f>
        <v>#REF!</v>
      </c>
      <c r="L8" s="133" t="e">
        <f>#REF!/#REF!*100</f>
        <v>#REF!</v>
      </c>
      <c r="M8" s="133" t="e">
        <f>#REF!/#REF!*100</f>
        <v>#REF!</v>
      </c>
      <c r="N8" s="133" t="e">
        <f>#REF!/#REF!*100</f>
        <v>#REF!</v>
      </c>
      <c r="O8" s="133" t="e">
        <f>#REF!/#REF!*100</f>
        <v>#REF!</v>
      </c>
      <c r="P8" s="133" t="e">
        <f>#REF!/#REF!*100</f>
        <v>#REF!</v>
      </c>
      <c r="Q8" s="133" t="e">
        <f>#REF!/#REF!*100</f>
        <v>#REF!</v>
      </c>
      <c r="R8" s="133"/>
      <c r="S8" s="133"/>
    </row>
    <row r="9" spans="1:20" ht="162" customHeight="1" thickBot="1" x14ac:dyDescent="0.25">
      <c r="A9" s="137" t="s">
        <v>21</v>
      </c>
      <c r="B9" s="133" t="s">
        <v>28</v>
      </c>
      <c r="C9" s="133" t="s">
        <v>15</v>
      </c>
      <c r="D9" s="133" t="s">
        <v>29</v>
      </c>
      <c r="E9" s="138" t="e">
        <f>#REF!/#REF!*100</f>
        <v>#REF!</v>
      </c>
      <c r="F9" s="182" t="e">
        <f>#REF!/#REF!*100</f>
        <v>#REF!</v>
      </c>
      <c r="G9" s="182" t="e">
        <f>#REF!/#REF!*100</f>
        <v>#REF!</v>
      </c>
      <c r="H9" s="182" t="e">
        <f>#REF!/#REF!*100</f>
        <v>#REF!</v>
      </c>
      <c r="I9" s="138" t="e">
        <f>#REF!/#REF!*100</f>
        <v>#REF!</v>
      </c>
      <c r="J9" s="138" t="e">
        <f>#REF!/#REF!*100</f>
        <v>#REF!</v>
      </c>
      <c r="K9" s="138" t="e">
        <f>#REF!/#REF!*100</f>
        <v>#REF!</v>
      </c>
      <c r="L9" s="138" t="e">
        <f>#REF!/#REF!*100</f>
        <v>#REF!</v>
      </c>
      <c r="M9" s="138" t="e">
        <f>#REF!/#REF!*100</f>
        <v>#REF!</v>
      </c>
      <c r="N9" s="138" t="e">
        <f>#REF!/#REF!*100</f>
        <v>#REF!</v>
      </c>
      <c r="O9" s="138" t="e">
        <f>#REF!/#REF!*100</f>
        <v>#REF!</v>
      </c>
      <c r="P9" s="138" t="e">
        <f>#REF!/#REF!*100</f>
        <v>#REF!</v>
      </c>
      <c r="Q9" s="138" t="e">
        <f>#REF!/#REF!*100</f>
        <v>#REF!</v>
      </c>
      <c r="R9" s="133"/>
      <c r="S9" s="133"/>
    </row>
    <row r="10" spans="1:20" ht="150.75" thickBot="1" x14ac:dyDescent="0.25">
      <c r="A10" s="137" t="s">
        <v>30</v>
      </c>
      <c r="B10" s="133" t="s">
        <v>31</v>
      </c>
      <c r="C10" s="133" t="s">
        <v>15</v>
      </c>
      <c r="D10" s="133" t="s">
        <v>32</v>
      </c>
      <c r="E10" s="138" t="e">
        <f>#REF!/#REF!*100</f>
        <v>#REF!</v>
      </c>
      <c r="F10" s="138" t="e">
        <f>#REF!/#REF!*100</f>
        <v>#REF!</v>
      </c>
      <c r="G10" s="138" t="e">
        <f>#REF!/#REF!*100</f>
        <v>#REF!</v>
      </c>
      <c r="H10" s="138" t="e">
        <f>#REF!/#REF!*100</f>
        <v>#REF!</v>
      </c>
      <c r="I10" s="138" t="e">
        <f>#REF!/#REF!*100</f>
        <v>#REF!</v>
      </c>
      <c r="J10" s="138" t="e">
        <f>#REF!/#REF!*100</f>
        <v>#REF!</v>
      </c>
      <c r="K10" s="138" t="e">
        <f>#REF!/#REF!*100</f>
        <v>#REF!</v>
      </c>
      <c r="L10" s="138" t="e">
        <f>#REF!/#REF!*100</f>
        <v>#REF!</v>
      </c>
      <c r="M10" s="138" t="e">
        <f>#REF!/#REF!*100</f>
        <v>#REF!</v>
      </c>
      <c r="N10" s="138" t="e">
        <f>#REF!/#REF!*100</f>
        <v>#REF!</v>
      </c>
      <c r="O10" s="138" t="e">
        <f>#REF!/#REF!*100</f>
        <v>#REF!</v>
      </c>
      <c r="P10" s="138" t="e">
        <f>#REF!/#REF!*100</f>
        <v>#REF!</v>
      </c>
      <c r="Q10" s="138" t="e">
        <f>#REF!/#REF!*100</f>
        <v>#REF!</v>
      </c>
      <c r="R10" s="133"/>
      <c r="S10" s="133"/>
    </row>
    <row r="11" spans="1:20" ht="183" customHeight="1" thickBot="1" x14ac:dyDescent="0.25">
      <c r="A11" s="137" t="s">
        <v>33</v>
      </c>
      <c r="B11" s="133" t="s">
        <v>34</v>
      </c>
      <c r="C11" s="133" t="s">
        <v>15</v>
      </c>
      <c r="D11" s="133" t="s">
        <v>35</v>
      </c>
      <c r="E11" s="182" t="e">
        <f>#REF!/#REF!*100</f>
        <v>#REF!</v>
      </c>
      <c r="F11" s="182" t="e">
        <f>#REF!/#REF!*100</f>
        <v>#REF!</v>
      </c>
      <c r="G11" s="182" t="e">
        <f>#REF!/#REF!*100</f>
        <v>#REF!</v>
      </c>
      <c r="H11" s="182" t="e">
        <f>#REF!/#REF!*100</f>
        <v>#REF!</v>
      </c>
      <c r="I11" s="182" t="e">
        <f>#REF!/#REF!*100</f>
        <v>#REF!</v>
      </c>
      <c r="J11" s="138" t="e">
        <f>#REF!/#REF!*100</f>
        <v>#REF!</v>
      </c>
      <c r="K11" s="138" t="e">
        <f>#REF!/#REF!*100</f>
        <v>#REF!</v>
      </c>
      <c r="L11" s="138" t="e">
        <f>#REF!/#REF!*100</f>
        <v>#REF!</v>
      </c>
      <c r="M11" s="138" t="e">
        <f>#REF!/#REF!*100</f>
        <v>#REF!</v>
      </c>
      <c r="N11" s="138" t="e">
        <f>#REF!/#REF!*100</f>
        <v>#REF!</v>
      </c>
      <c r="O11" s="138" t="e">
        <f>#REF!/#REF!*100</f>
        <v>#REF!</v>
      </c>
      <c r="P11" s="138" t="e">
        <f>#REF!/#REF!*100</f>
        <v>#REF!</v>
      </c>
      <c r="Q11" s="138" t="e">
        <f>#REF!/#REF!*100</f>
        <v>#REF!</v>
      </c>
      <c r="R11" s="133"/>
      <c r="S11" s="133"/>
    </row>
    <row r="12" spans="1:20" ht="174.75" customHeight="1" thickBot="1" x14ac:dyDescent="0.25">
      <c r="A12" s="137" t="s">
        <v>36</v>
      </c>
      <c r="B12" s="133" t="s">
        <v>37</v>
      </c>
      <c r="C12" s="133" t="s">
        <v>15</v>
      </c>
      <c r="D12" s="133" t="s">
        <v>44</v>
      </c>
      <c r="E12" s="138" t="e">
        <f>(#REF!/#REF!)*100</f>
        <v>#REF!</v>
      </c>
      <c r="F12" s="183" t="e">
        <f>(#REF!/#REF!)*100</f>
        <v>#REF!</v>
      </c>
      <c r="G12" s="183" t="e">
        <f>(#REF!/#REF!)*100</f>
        <v>#REF!</v>
      </c>
      <c r="H12" s="183" t="e">
        <f>(#REF!/#REF!)*100</f>
        <v>#REF!</v>
      </c>
      <c r="I12" s="183" t="e">
        <f>(#REF!/#REF!)*100</f>
        <v>#REF!</v>
      </c>
      <c r="J12" s="183" t="e">
        <f>(#REF!/#REF!)*100</f>
        <v>#REF!</v>
      </c>
      <c r="K12" s="183" t="e">
        <f>(#REF!/#REF!)*100</f>
        <v>#REF!</v>
      </c>
      <c r="L12" s="183" t="e">
        <f>(#REF!/#REF!)*100</f>
        <v>#REF!</v>
      </c>
      <c r="M12" s="183" t="e">
        <f>(#REF!/#REF!)*100</f>
        <v>#REF!</v>
      </c>
      <c r="N12" s="183" t="e">
        <f>(#REF!/#REF!)*100</f>
        <v>#REF!</v>
      </c>
      <c r="O12" s="183" t="e">
        <f>(#REF!/#REF!)*100</f>
        <v>#REF!</v>
      </c>
      <c r="P12" s="183" t="e">
        <f>(#REF!/#REF!)*100</f>
        <v>#REF!</v>
      </c>
      <c r="Q12" s="183" t="e">
        <f>(#REF!/#REF!)*100</f>
        <v>#REF!</v>
      </c>
      <c r="R12" s="133"/>
      <c r="S12" s="133"/>
    </row>
    <row r="13" spans="1:20" ht="135.75" customHeight="1" thickBot="1" x14ac:dyDescent="0.25">
      <c r="A13" s="137" t="s">
        <v>45</v>
      </c>
      <c r="B13" s="133" t="s">
        <v>46</v>
      </c>
      <c r="C13" s="133" t="s">
        <v>509</v>
      </c>
      <c r="D13" s="133" t="s">
        <v>47</v>
      </c>
      <c r="E13" s="133">
        <v>0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 t="e">
        <f>#REF!-#REF!</f>
        <v>#REF!</v>
      </c>
      <c r="M13" s="133" t="e">
        <f>#REF!-#REF!</f>
        <v>#REF!</v>
      </c>
      <c r="N13" s="133" t="e">
        <f>#REF!-#REF!</f>
        <v>#REF!</v>
      </c>
      <c r="O13" s="133" t="e">
        <f>#REF!-#REF!</f>
        <v>#REF!</v>
      </c>
      <c r="P13" s="133" t="e">
        <f>#REF!-#REF!</f>
        <v>#REF!</v>
      </c>
      <c r="Q13" s="133" t="e">
        <f>#REF!-#REF!</f>
        <v>#REF!</v>
      </c>
      <c r="R13" s="133"/>
      <c r="S13" s="133" t="s">
        <v>48</v>
      </c>
    </row>
    <row r="14" spans="1:20" ht="171.75" customHeight="1" thickBot="1" x14ac:dyDescent="0.25">
      <c r="A14" s="137" t="s">
        <v>49</v>
      </c>
      <c r="B14" s="133" t="s">
        <v>50</v>
      </c>
      <c r="C14" s="133" t="s">
        <v>15</v>
      </c>
      <c r="D14" s="133" t="s">
        <v>51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/>
      <c r="S14" s="139"/>
    </row>
    <row r="15" spans="1:20" ht="47.25" customHeight="1" thickBot="1" x14ac:dyDescent="0.25">
      <c r="A15" s="669" t="s">
        <v>52</v>
      </c>
      <c r="B15" s="670"/>
      <c r="C15" s="670"/>
      <c r="D15" s="670"/>
      <c r="E15" s="670"/>
      <c r="F15" s="670"/>
      <c r="G15" s="670"/>
      <c r="H15" s="670"/>
      <c r="I15" s="670"/>
      <c r="J15" s="670"/>
      <c r="K15" s="670"/>
      <c r="L15" s="670"/>
      <c r="M15" s="670"/>
      <c r="N15" s="670"/>
      <c r="O15" s="670"/>
      <c r="P15" s="670"/>
      <c r="Q15" s="670"/>
      <c r="R15" s="670"/>
      <c r="S15" s="671"/>
    </row>
    <row r="16" spans="1:20" ht="105.75" customHeight="1" thickBot="1" x14ac:dyDescent="0.25">
      <c r="A16" s="137" t="s">
        <v>53</v>
      </c>
      <c r="B16" s="133" t="s">
        <v>54</v>
      </c>
      <c r="C16" s="133" t="s">
        <v>487</v>
      </c>
      <c r="D16" s="133"/>
      <c r="E16" s="133">
        <v>0</v>
      </c>
      <c r="F16" s="140">
        <v>0</v>
      </c>
      <c r="G16" s="140">
        <v>0</v>
      </c>
      <c r="H16" s="140" t="e">
        <f>#REF!</f>
        <v>#REF!</v>
      </c>
      <c r="I16" s="140" t="e">
        <f>((#REF!/#REF!-#REF!/#REF!)/(#REF!/#REF!))*#REF!</f>
        <v>#REF!</v>
      </c>
      <c r="J16" s="140" t="e">
        <f>((#REF!/#REF!-#REF!/#REF!)/(#REF!/#REF!))*#REF!</f>
        <v>#REF!</v>
      </c>
      <c r="K16" s="140" t="e">
        <f>((#REF!/#REF!-#REF!/#REF!)/(#REF!/#REF!))*#REF!</f>
        <v>#REF!</v>
      </c>
      <c r="L16" s="140" t="e">
        <f>((#REF!/#REF!-#REF!/#REF!)/(#REF!/#REF!))*#REF!</f>
        <v>#REF!</v>
      </c>
      <c r="M16" s="140" t="e">
        <f>((#REF!/#REF!-#REF!/#REF!)/(#REF!/#REF!))*#REF!</f>
        <v>#REF!</v>
      </c>
      <c r="N16" s="140" t="e">
        <f>((#REF!/#REF!-#REF!/#REF!)/(#REF!/#REF!))*#REF!</f>
        <v>#REF!</v>
      </c>
      <c r="O16" s="140" t="e">
        <f>((#REF!/#REF!-#REF!/#REF!)/(#REF!/#REF!))*#REF!</f>
        <v>#REF!</v>
      </c>
      <c r="P16" s="140" t="e">
        <f>((#REF!/#REF!-#REF!/#REF!)/(#REF!/#REF!))*#REF!</f>
        <v>#REF!</v>
      </c>
      <c r="Q16" s="140" t="e">
        <f>((#REF!/#REF!-#REF!/#REF!)/(#REF!/#REF!))*#REF!</f>
        <v>#REF!</v>
      </c>
      <c r="R16" s="133"/>
      <c r="S16" s="133" t="s">
        <v>55</v>
      </c>
      <c r="T16" s="152" t="e">
        <f>I16+J16+K16+L16+M16+N16+O16+P16+Q16</f>
        <v>#REF!</v>
      </c>
    </row>
    <row r="17" spans="1:20" ht="81.75" customHeight="1" thickBot="1" x14ac:dyDescent="0.25">
      <c r="A17" s="137" t="s">
        <v>56</v>
      </c>
      <c r="B17" s="133" t="s">
        <v>57</v>
      </c>
      <c r="C17" s="133" t="s">
        <v>421</v>
      </c>
      <c r="D17" s="133" t="s">
        <v>58</v>
      </c>
      <c r="E17" s="133" t="e">
        <f>E16*#REF!</f>
        <v>#REF!</v>
      </c>
      <c r="F17" s="140" t="e">
        <f>F16*#REF!</f>
        <v>#REF!</v>
      </c>
      <c r="G17" s="140" t="e">
        <f>G16*#REF!</f>
        <v>#REF!</v>
      </c>
      <c r="H17" s="140" t="e">
        <f>H16*#REF!</f>
        <v>#REF!</v>
      </c>
      <c r="I17" s="140" t="e">
        <f>I16*#REF!</f>
        <v>#REF!</v>
      </c>
      <c r="J17" s="140" t="e">
        <f>J16*#REF!</f>
        <v>#REF!</v>
      </c>
      <c r="K17" s="140" t="e">
        <f>K16*#REF!</f>
        <v>#REF!</v>
      </c>
      <c r="L17" s="140" t="e">
        <f>L16*#REF!</f>
        <v>#REF!</v>
      </c>
      <c r="M17" s="140" t="e">
        <f>M16*#REF!</f>
        <v>#REF!</v>
      </c>
      <c r="N17" s="140" t="e">
        <f>N16*#REF!</f>
        <v>#REF!</v>
      </c>
      <c r="O17" s="140" t="e">
        <f>O16*#REF!</f>
        <v>#REF!</v>
      </c>
      <c r="P17" s="140" t="e">
        <f>P16*#REF!</f>
        <v>#REF!</v>
      </c>
      <c r="Q17" s="140" t="e">
        <f>Q16*#REF!</f>
        <v>#REF!</v>
      </c>
      <c r="R17" s="133"/>
      <c r="S17" s="133" t="s">
        <v>59</v>
      </c>
      <c r="T17" s="152" t="e">
        <f t="shared" ref="T17:T23" si="0">I17+J17+K17+L17+M17+N17+O17+P17+Q17</f>
        <v>#REF!</v>
      </c>
    </row>
    <row r="18" spans="1:20" ht="111" customHeight="1" thickBot="1" x14ac:dyDescent="0.25">
      <c r="A18" s="137" t="s">
        <v>60</v>
      </c>
      <c r="B18" s="133" t="s">
        <v>61</v>
      </c>
      <c r="C18" s="133" t="s">
        <v>489</v>
      </c>
      <c r="D18" s="133"/>
      <c r="E18" s="133">
        <v>0</v>
      </c>
      <c r="F18" s="140">
        <v>0</v>
      </c>
      <c r="G18" s="140">
        <v>0</v>
      </c>
      <c r="H18" s="140" t="e">
        <f>#REF!</f>
        <v>#REF!</v>
      </c>
      <c r="I18" s="140" t="e">
        <f>((#REF!/#REF!-#REF!/#REF!)/(#REF!/#REF!))*#REF!</f>
        <v>#REF!</v>
      </c>
      <c r="J18" s="140" t="e">
        <f>((#REF!/#REF!-#REF!/#REF!)/(#REF!/#REF!))*#REF!</f>
        <v>#REF!</v>
      </c>
      <c r="K18" s="140" t="e">
        <f>((#REF!/#REF!-#REF!/#REF!)/(#REF!/#REF!))*#REF!</f>
        <v>#REF!</v>
      </c>
      <c r="L18" s="140" t="e">
        <f>((#REF!/#REF!-#REF!/#REF!)/(#REF!/#REF!))*#REF!</f>
        <v>#REF!</v>
      </c>
      <c r="M18" s="140" t="e">
        <f>((#REF!/#REF!-#REF!/#REF!)/(#REF!/#REF!))*#REF!</f>
        <v>#REF!</v>
      </c>
      <c r="N18" s="140" t="e">
        <f>((#REF!/#REF!-#REF!/#REF!)/(#REF!/#REF!))*#REF!</f>
        <v>#REF!</v>
      </c>
      <c r="O18" s="140" t="e">
        <f>((#REF!/#REF!-#REF!/#REF!)/(#REF!/#REF!))*#REF!</f>
        <v>#REF!</v>
      </c>
      <c r="P18" s="140" t="e">
        <f>((#REF!/#REF!-#REF!/#REF!)/(#REF!/#REF!))*#REF!</f>
        <v>#REF!</v>
      </c>
      <c r="Q18" s="140" t="e">
        <f>((#REF!/#REF!-#REF!/#REF!)/(#REF!/#REF!))*#REF!</f>
        <v>#REF!</v>
      </c>
      <c r="R18" s="133"/>
      <c r="S18" s="133" t="s">
        <v>63</v>
      </c>
      <c r="T18" s="152" t="e">
        <f t="shared" si="0"/>
        <v>#REF!</v>
      </c>
    </row>
    <row r="19" spans="1:20" ht="99" customHeight="1" thickBot="1" x14ac:dyDescent="0.25">
      <c r="A19" s="137" t="s">
        <v>64</v>
      </c>
      <c r="B19" s="133" t="s">
        <v>65</v>
      </c>
      <c r="C19" s="133" t="s">
        <v>595</v>
      </c>
      <c r="D19" s="133" t="s">
        <v>66</v>
      </c>
      <c r="E19" s="133" t="e">
        <f>E18*#REF!</f>
        <v>#REF!</v>
      </c>
      <c r="F19" s="140" t="e">
        <f>F18*#REF!</f>
        <v>#REF!</v>
      </c>
      <c r="G19" s="140" t="e">
        <f>G18*#REF!</f>
        <v>#REF!</v>
      </c>
      <c r="H19" s="140" t="e">
        <f>H18*#REF!</f>
        <v>#REF!</v>
      </c>
      <c r="I19" s="140" t="e">
        <f>I18*#REF!</f>
        <v>#REF!</v>
      </c>
      <c r="J19" s="140" t="e">
        <f>J18*#REF!</f>
        <v>#REF!</v>
      </c>
      <c r="K19" s="140" t="e">
        <f>K18*#REF!</f>
        <v>#REF!</v>
      </c>
      <c r="L19" s="140" t="e">
        <f>L18*#REF!</f>
        <v>#REF!</v>
      </c>
      <c r="M19" s="140" t="e">
        <f>M18*#REF!</f>
        <v>#REF!</v>
      </c>
      <c r="N19" s="140" t="e">
        <f>N18*#REF!</f>
        <v>#REF!</v>
      </c>
      <c r="O19" s="140" t="e">
        <f>O18*#REF!</f>
        <v>#REF!</v>
      </c>
      <c r="P19" s="140" t="e">
        <f>P18*#REF!</f>
        <v>#REF!</v>
      </c>
      <c r="Q19" s="140" t="e">
        <f>Q18*#REF!</f>
        <v>#REF!</v>
      </c>
      <c r="R19" s="133"/>
      <c r="S19" s="133" t="s">
        <v>67</v>
      </c>
      <c r="T19" s="152" t="e">
        <f t="shared" si="0"/>
        <v>#REF!</v>
      </c>
    </row>
    <row r="20" spans="1:20" ht="105.75" thickBot="1" x14ac:dyDescent="0.25">
      <c r="A20" s="137" t="s">
        <v>68</v>
      </c>
      <c r="B20" s="133" t="s">
        <v>69</v>
      </c>
      <c r="C20" s="133" t="s">
        <v>596</v>
      </c>
      <c r="D20" s="133"/>
      <c r="E20" s="133">
        <v>0</v>
      </c>
      <c r="F20" s="140">
        <v>0</v>
      </c>
      <c r="G20" s="140">
        <v>0</v>
      </c>
      <c r="H20" s="140" t="e">
        <f>#REF!</f>
        <v>#REF!</v>
      </c>
      <c r="I20" s="140" t="e">
        <f>((#REF!/#REF!-#REF!/#REF!)/(#REF!/#REF!))*#REF!</f>
        <v>#REF!</v>
      </c>
      <c r="J20" s="140" t="e">
        <f>((#REF!/#REF!-#REF!/#REF!)/(#REF!/#REF!))*#REF!</f>
        <v>#REF!</v>
      </c>
      <c r="K20" s="140" t="e">
        <f>((#REF!/#REF!-#REF!/#REF!)/(#REF!/#REF!))*#REF!</f>
        <v>#REF!</v>
      </c>
      <c r="L20" s="140" t="e">
        <f>((#REF!/#REF!-#REF!/#REF!)/(#REF!/#REF!))*#REF!</f>
        <v>#REF!</v>
      </c>
      <c r="M20" s="140" t="e">
        <f>((#REF!/#REF!-#REF!/#REF!)/(#REF!/#REF!))*#REF!</f>
        <v>#REF!</v>
      </c>
      <c r="N20" s="140" t="e">
        <f>((#REF!/#REF!-#REF!/#REF!)/(#REF!/#REF!))*#REF!</f>
        <v>#REF!</v>
      </c>
      <c r="O20" s="140" t="e">
        <f>((#REF!/#REF!-#REF!/#REF!)/(#REF!/#REF!))*#REF!</f>
        <v>#REF!</v>
      </c>
      <c r="P20" s="140" t="e">
        <f>((#REF!/#REF!-#REF!/#REF!)/(#REF!/#REF!))*#REF!</f>
        <v>#REF!</v>
      </c>
      <c r="Q20" s="140" t="e">
        <f>((#REF!/#REF!-#REF!/#REF!)/(#REF!/#REF!))*#REF!</f>
        <v>#REF!</v>
      </c>
      <c r="R20" s="133"/>
      <c r="S20" s="133" t="s">
        <v>78</v>
      </c>
      <c r="T20" s="152" t="e">
        <f t="shared" si="0"/>
        <v>#REF!</v>
      </c>
    </row>
    <row r="21" spans="1:20" ht="75.75" thickBot="1" x14ac:dyDescent="0.25">
      <c r="A21" s="137" t="s">
        <v>79</v>
      </c>
      <c r="B21" s="133" t="s">
        <v>80</v>
      </c>
      <c r="C21" s="133" t="s">
        <v>421</v>
      </c>
      <c r="D21" s="133" t="s">
        <v>81</v>
      </c>
      <c r="E21" s="133" t="e">
        <f>E20*#REF!</f>
        <v>#REF!</v>
      </c>
      <c r="F21" s="140" t="e">
        <f>F20*#REF!</f>
        <v>#REF!</v>
      </c>
      <c r="G21" s="140" t="e">
        <f>G20*#REF!</f>
        <v>#REF!</v>
      </c>
      <c r="H21" s="140" t="e">
        <f>H20*#REF!</f>
        <v>#REF!</v>
      </c>
      <c r="I21" s="140" t="e">
        <f>I20*#REF!</f>
        <v>#REF!</v>
      </c>
      <c r="J21" s="140" t="e">
        <f>J20*#REF!</f>
        <v>#REF!</v>
      </c>
      <c r="K21" s="140" t="e">
        <f>K20*#REF!</f>
        <v>#REF!</v>
      </c>
      <c r="L21" s="140" t="e">
        <f>L20*#REF!</f>
        <v>#REF!</v>
      </c>
      <c r="M21" s="140" t="e">
        <f>M20*#REF!</f>
        <v>#REF!</v>
      </c>
      <c r="N21" s="140" t="e">
        <f>N20*#REF!</f>
        <v>#REF!</v>
      </c>
      <c r="O21" s="140" t="e">
        <f>O20*#REF!</f>
        <v>#REF!</v>
      </c>
      <c r="P21" s="140" t="e">
        <f>P20*#REF!</f>
        <v>#REF!</v>
      </c>
      <c r="Q21" s="140" t="e">
        <f>Q20*#REF!</f>
        <v>#REF!</v>
      </c>
      <c r="R21" s="133"/>
      <c r="S21" s="133" t="s">
        <v>82</v>
      </c>
      <c r="T21" s="152" t="e">
        <f t="shared" si="0"/>
        <v>#REF!</v>
      </c>
    </row>
    <row r="22" spans="1:20" ht="107.25" customHeight="1" thickBot="1" x14ac:dyDescent="0.25">
      <c r="A22" s="137" t="s">
        <v>83</v>
      </c>
      <c r="B22" s="133" t="s">
        <v>84</v>
      </c>
      <c r="C22" s="133" t="s">
        <v>491</v>
      </c>
      <c r="D22" s="133"/>
      <c r="E22" s="133">
        <v>0</v>
      </c>
      <c r="F22" s="138">
        <v>0</v>
      </c>
      <c r="G22" s="138">
        <v>0</v>
      </c>
      <c r="H22" s="138" t="e">
        <f>#REF!</f>
        <v>#REF!</v>
      </c>
      <c r="I22" s="138" t="e">
        <f>((#REF!/#REF!-#REF!/#REF!)/(#REF!/#REF!))*#REF!</f>
        <v>#REF!</v>
      </c>
      <c r="J22" s="138" t="e">
        <f>((#REF!/#REF!-#REF!/#REF!)/(#REF!/#REF!))*#REF!</f>
        <v>#REF!</v>
      </c>
      <c r="K22" s="138" t="e">
        <f>((#REF!/#REF!-#REF!/#REF!)/(#REF!/#REF!))*#REF!</f>
        <v>#REF!</v>
      </c>
      <c r="L22" s="138" t="e">
        <f>((#REF!/#REF!-#REF!/#REF!)/(#REF!/#REF!))*#REF!</f>
        <v>#REF!</v>
      </c>
      <c r="M22" s="138" t="e">
        <f>((#REF!/#REF!-#REF!/#REF!)/(#REF!/#REF!))*#REF!</f>
        <v>#REF!</v>
      </c>
      <c r="N22" s="138" t="e">
        <f>((#REF!/#REF!-#REF!/#REF!)/(#REF!/#REF!))*#REF!</f>
        <v>#REF!</v>
      </c>
      <c r="O22" s="138" t="e">
        <f>((#REF!/#REF!-#REF!/#REF!)/(#REF!/#REF!))*#REF!</f>
        <v>#REF!</v>
      </c>
      <c r="P22" s="138" t="e">
        <f>((#REF!/#REF!-#REF!/#REF!)/(#REF!/#REF!))*#REF!</f>
        <v>#REF!</v>
      </c>
      <c r="Q22" s="138" t="e">
        <f>((#REF!/#REF!-#REF!/#REF!)/(#REF!/#REF!))*#REF!</f>
        <v>#REF!</v>
      </c>
      <c r="R22" s="133"/>
      <c r="S22" s="133" t="s">
        <v>85</v>
      </c>
      <c r="T22" s="152" t="e">
        <f t="shared" si="0"/>
        <v>#REF!</v>
      </c>
    </row>
    <row r="23" spans="1:20" ht="90.75" customHeight="1" thickBot="1" x14ac:dyDescent="0.25">
      <c r="A23" s="137" t="s">
        <v>86</v>
      </c>
      <c r="B23" s="133" t="s">
        <v>87</v>
      </c>
      <c r="C23" s="133" t="s">
        <v>88</v>
      </c>
      <c r="D23" s="133" t="s">
        <v>89</v>
      </c>
      <c r="E23" s="133" t="e">
        <f>E22*#REF!</f>
        <v>#REF!</v>
      </c>
      <c r="F23" s="138" t="e">
        <f>F22*#REF!</f>
        <v>#REF!</v>
      </c>
      <c r="G23" s="138" t="e">
        <f>G22*#REF!</f>
        <v>#REF!</v>
      </c>
      <c r="H23" s="138" t="e">
        <f>H22*#REF!</f>
        <v>#REF!</v>
      </c>
      <c r="I23" s="138" t="e">
        <f>I22*#REF!</f>
        <v>#REF!</v>
      </c>
      <c r="J23" s="138" t="e">
        <f>J22*#REF!</f>
        <v>#REF!</v>
      </c>
      <c r="K23" s="138" t="e">
        <f>K22*#REF!</f>
        <v>#REF!</v>
      </c>
      <c r="L23" s="138" t="e">
        <f>L22*#REF!</f>
        <v>#REF!</v>
      </c>
      <c r="M23" s="138" t="e">
        <f>M22*#REF!</f>
        <v>#REF!</v>
      </c>
      <c r="N23" s="138" t="e">
        <f>N22*#REF!</f>
        <v>#REF!</v>
      </c>
      <c r="O23" s="138" t="e">
        <f>O22*#REF!</f>
        <v>#REF!</v>
      </c>
      <c r="P23" s="138" t="e">
        <f>P22*#REF!</f>
        <v>#REF!</v>
      </c>
      <c r="Q23" s="138" t="e">
        <f>Q22*#REF!</f>
        <v>#REF!</v>
      </c>
      <c r="R23" s="133"/>
      <c r="S23" s="133" t="s">
        <v>90</v>
      </c>
      <c r="T23" s="152" t="e">
        <f t="shared" si="0"/>
        <v>#REF!</v>
      </c>
    </row>
    <row r="24" spans="1:20" ht="40.5" customHeight="1" thickBot="1" x14ac:dyDescent="0.25">
      <c r="A24" s="669" t="s">
        <v>91</v>
      </c>
      <c r="B24" s="670"/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N24" s="670"/>
      <c r="O24" s="670"/>
      <c r="P24" s="670"/>
      <c r="Q24" s="670"/>
      <c r="R24" s="670"/>
      <c r="S24" s="671"/>
    </row>
    <row r="25" spans="1:20" ht="103.5" customHeight="1" thickBot="1" x14ac:dyDescent="0.25">
      <c r="A25" s="137" t="s">
        <v>92</v>
      </c>
      <c r="B25" s="133" t="s">
        <v>93</v>
      </c>
      <c r="C25" s="133" t="s">
        <v>597</v>
      </c>
      <c r="D25" s="133" t="s">
        <v>95</v>
      </c>
      <c r="E25" s="141" t="e">
        <f>#REF!/#REF!</f>
        <v>#REF!</v>
      </c>
      <c r="F25" s="141" t="e">
        <f>#REF!/#REF!</f>
        <v>#REF!</v>
      </c>
      <c r="G25" s="141" t="e">
        <f>#REF!/#REF!</f>
        <v>#REF!</v>
      </c>
      <c r="H25" s="141" t="e">
        <f>#REF!/#REF!</f>
        <v>#REF!</v>
      </c>
      <c r="I25" s="141" t="e">
        <f>#REF!/#REF!</f>
        <v>#REF!</v>
      </c>
      <c r="J25" s="141" t="e">
        <f>#REF!/#REF!</f>
        <v>#REF!</v>
      </c>
      <c r="K25" s="141" t="e">
        <f>#REF!/#REF!</f>
        <v>#REF!</v>
      </c>
      <c r="L25" s="141" t="e">
        <f>#REF!/#REF!</f>
        <v>#REF!</v>
      </c>
      <c r="M25" s="141" t="e">
        <f>#REF!/#REF!</f>
        <v>#REF!</v>
      </c>
      <c r="N25" s="141" t="e">
        <f>#REF!/#REF!</f>
        <v>#REF!</v>
      </c>
      <c r="O25" s="141" t="e">
        <f>#REF!/#REF!</f>
        <v>#REF!</v>
      </c>
      <c r="P25" s="141" t="e">
        <f>#REF!/#REF!</f>
        <v>#REF!</v>
      </c>
      <c r="Q25" s="141" t="e">
        <f>#REF!/#REF!</f>
        <v>#REF!</v>
      </c>
      <c r="R25" s="133"/>
      <c r="S25" s="133"/>
    </row>
    <row r="26" spans="1:20" ht="101.25" customHeight="1" thickBot="1" x14ac:dyDescent="0.25">
      <c r="A26" s="137" t="s">
        <v>96</v>
      </c>
      <c r="B26" s="133" t="s">
        <v>97</v>
      </c>
      <c r="C26" s="133" t="s">
        <v>597</v>
      </c>
      <c r="D26" s="133" t="s">
        <v>0</v>
      </c>
      <c r="E26" s="142" t="e">
        <f>#REF!/#REF!</f>
        <v>#REF!</v>
      </c>
      <c r="F26" s="237" t="e">
        <f>#REF!/#REF!</f>
        <v>#REF!</v>
      </c>
      <c r="G26" s="142" t="e">
        <f>#REF!/#REF!</f>
        <v>#REF!</v>
      </c>
      <c r="H26" s="141" t="e">
        <f>#REF!/#REF!</f>
        <v>#REF!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/>
      <c r="S26" s="133"/>
    </row>
    <row r="27" spans="1:20" ht="99.75" customHeight="1" thickBot="1" x14ac:dyDescent="0.25">
      <c r="A27" s="137" t="s">
        <v>98</v>
      </c>
      <c r="B27" s="133" t="s">
        <v>99</v>
      </c>
      <c r="C27" s="133" t="s">
        <v>597</v>
      </c>
      <c r="D27" s="133" t="s">
        <v>1</v>
      </c>
      <c r="E27" s="230">
        <v>0</v>
      </c>
      <c r="F27" s="231">
        <v>0</v>
      </c>
      <c r="G27" s="133" t="e">
        <f t="shared" ref="G27:Q27" si="1">G25-$G$25</f>
        <v>#REF!</v>
      </c>
      <c r="H27" s="141" t="e">
        <f t="shared" si="1"/>
        <v>#REF!</v>
      </c>
      <c r="I27" s="141" t="e">
        <f t="shared" si="1"/>
        <v>#REF!</v>
      </c>
      <c r="J27" s="141" t="e">
        <f t="shared" si="1"/>
        <v>#REF!</v>
      </c>
      <c r="K27" s="141" t="e">
        <f t="shared" si="1"/>
        <v>#REF!</v>
      </c>
      <c r="L27" s="141" t="e">
        <f t="shared" si="1"/>
        <v>#REF!</v>
      </c>
      <c r="M27" s="141" t="e">
        <f t="shared" si="1"/>
        <v>#REF!</v>
      </c>
      <c r="N27" s="141" t="e">
        <f t="shared" si="1"/>
        <v>#REF!</v>
      </c>
      <c r="O27" s="141" t="e">
        <f t="shared" si="1"/>
        <v>#REF!</v>
      </c>
      <c r="P27" s="141" t="e">
        <f t="shared" si="1"/>
        <v>#REF!</v>
      </c>
      <c r="Q27" s="141" t="e">
        <f t="shared" si="1"/>
        <v>#REF!</v>
      </c>
      <c r="R27" s="133"/>
      <c r="S27" s="133" t="s">
        <v>100</v>
      </c>
    </row>
    <row r="28" spans="1:20" ht="99" customHeight="1" thickBot="1" x14ac:dyDescent="0.25">
      <c r="A28" s="137" t="s">
        <v>101</v>
      </c>
      <c r="B28" s="133" t="s">
        <v>102</v>
      </c>
      <c r="C28" s="133" t="s">
        <v>597</v>
      </c>
      <c r="D28" s="133" t="s">
        <v>2</v>
      </c>
      <c r="E28" s="232">
        <v>0</v>
      </c>
      <c r="F28" s="239">
        <v>0</v>
      </c>
      <c r="G28" s="142" t="e">
        <f t="shared" ref="G28:Q28" si="2">G26-$G$26</f>
        <v>#REF!</v>
      </c>
      <c r="H28" s="142" t="e">
        <f t="shared" si="2"/>
        <v>#REF!</v>
      </c>
      <c r="I28" s="142" t="e">
        <f t="shared" si="2"/>
        <v>#REF!</v>
      </c>
      <c r="J28" s="142" t="e">
        <f t="shared" si="2"/>
        <v>#REF!</v>
      </c>
      <c r="K28" s="142" t="e">
        <f t="shared" si="2"/>
        <v>#REF!</v>
      </c>
      <c r="L28" s="142" t="e">
        <f t="shared" si="2"/>
        <v>#REF!</v>
      </c>
      <c r="M28" s="142" t="e">
        <f t="shared" si="2"/>
        <v>#REF!</v>
      </c>
      <c r="N28" s="142" t="e">
        <f t="shared" si="2"/>
        <v>#REF!</v>
      </c>
      <c r="O28" s="142" t="e">
        <f t="shared" si="2"/>
        <v>#REF!</v>
      </c>
      <c r="P28" s="142" t="e">
        <f t="shared" si="2"/>
        <v>#REF!</v>
      </c>
      <c r="Q28" s="142" t="e">
        <f t="shared" si="2"/>
        <v>#REF!</v>
      </c>
      <c r="R28" s="133"/>
      <c r="S28" s="133" t="s">
        <v>100</v>
      </c>
    </row>
    <row r="29" spans="1:20" ht="165" customHeight="1" thickBot="1" x14ac:dyDescent="0.25">
      <c r="A29" s="137" t="s">
        <v>103</v>
      </c>
      <c r="B29" s="133" t="s">
        <v>104</v>
      </c>
      <c r="C29" s="133"/>
      <c r="D29" s="133" t="s">
        <v>3</v>
      </c>
      <c r="E29" s="233">
        <v>0</v>
      </c>
      <c r="F29" s="198">
        <v>0</v>
      </c>
      <c r="G29" s="143" t="e">
        <f t="shared" ref="G29:Q29" si="3">(G26/G25)-($G$26/$G$25)</f>
        <v>#REF!</v>
      </c>
      <c r="H29" s="143" t="e">
        <f t="shared" si="3"/>
        <v>#REF!</v>
      </c>
      <c r="I29" s="143" t="e">
        <f t="shared" si="3"/>
        <v>#REF!</v>
      </c>
      <c r="J29" s="194" t="e">
        <f t="shared" si="3"/>
        <v>#REF!</v>
      </c>
      <c r="K29" s="143" t="e">
        <f t="shared" si="3"/>
        <v>#REF!</v>
      </c>
      <c r="L29" s="143" t="e">
        <f t="shared" si="3"/>
        <v>#REF!</v>
      </c>
      <c r="M29" s="143" t="e">
        <f t="shared" si="3"/>
        <v>#REF!</v>
      </c>
      <c r="N29" s="143" t="e">
        <f t="shared" si="3"/>
        <v>#REF!</v>
      </c>
      <c r="O29" s="143" t="e">
        <f t="shared" si="3"/>
        <v>#REF!</v>
      </c>
      <c r="P29" s="143" t="e">
        <f t="shared" si="3"/>
        <v>#REF!</v>
      </c>
      <c r="Q29" s="143" t="e">
        <f t="shared" si="3"/>
        <v>#REF!</v>
      </c>
      <c r="R29" s="143"/>
      <c r="S29" s="143"/>
    </row>
    <row r="30" spans="1:20" ht="91.5" customHeight="1" thickBot="1" x14ac:dyDescent="0.25">
      <c r="A30" s="137" t="s">
        <v>106</v>
      </c>
      <c r="B30" s="143" t="s">
        <v>107</v>
      </c>
      <c r="C30" s="147" t="s">
        <v>108</v>
      </c>
      <c r="D30" s="147" t="s">
        <v>109</v>
      </c>
      <c r="E30" s="183" t="e">
        <f>#REF!/#REF!</f>
        <v>#REF!</v>
      </c>
      <c r="F30" s="183" t="e">
        <f>#REF!/#REF!</f>
        <v>#REF!</v>
      </c>
      <c r="G30" s="183" t="e">
        <f>#REF!/#REF!</f>
        <v>#REF!</v>
      </c>
      <c r="H30" s="183" t="e">
        <f>#REF!/#REF!</f>
        <v>#REF!</v>
      </c>
      <c r="I30" s="183" t="e">
        <f>#REF!/#REF!</f>
        <v>#REF!</v>
      </c>
      <c r="J30" s="141" t="e">
        <f>#REF!/#REF!</f>
        <v>#REF!</v>
      </c>
      <c r="K30" s="141" t="e">
        <f>#REF!/#REF!</f>
        <v>#REF!</v>
      </c>
      <c r="L30" s="141" t="e">
        <f>#REF!/#REF!</f>
        <v>#REF!</v>
      </c>
      <c r="M30" s="141" t="e">
        <f>#REF!/#REF!</f>
        <v>#REF!</v>
      </c>
      <c r="N30" s="141" t="e">
        <f>#REF!/#REF!</f>
        <v>#REF!</v>
      </c>
      <c r="O30" s="141" t="e">
        <f>#REF!/#REF!</f>
        <v>#REF!</v>
      </c>
      <c r="P30" s="141" t="e">
        <f>#REF!/#REF!</f>
        <v>#REF!</v>
      </c>
      <c r="Q30" s="141" t="e">
        <f>#REF!/#REF!</f>
        <v>#REF!</v>
      </c>
      <c r="R30" s="133"/>
      <c r="S30" s="133"/>
    </row>
    <row r="31" spans="1:20" ht="95.25" customHeight="1" thickBot="1" x14ac:dyDescent="0.25">
      <c r="A31" s="137" t="s">
        <v>110</v>
      </c>
      <c r="B31" s="143" t="s">
        <v>111</v>
      </c>
      <c r="C31" s="147" t="s">
        <v>108</v>
      </c>
      <c r="D31" s="147" t="s">
        <v>112</v>
      </c>
      <c r="E31" s="148" t="e">
        <f>#REF!/#REF!</f>
        <v>#REF!</v>
      </c>
      <c r="F31" s="148" t="e">
        <f>#REF!/#REF!</f>
        <v>#REF!</v>
      </c>
      <c r="G31" s="148" t="e">
        <f>#REF!/#REF!</f>
        <v>#REF!</v>
      </c>
      <c r="H31" s="148" t="e">
        <f>#REF!/#REF!</f>
        <v>#REF!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33"/>
      <c r="S31" s="133"/>
    </row>
    <row r="32" spans="1:20" ht="105" customHeight="1" thickBot="1" x14ac:dyDescent="0.25">
      <c r="A32" s="137" t="s">
        <v>113</v>
      </c>
      <c r="B32" s="133" t="s">
        <v>114</v>
      </c>
      <c r="C32" s="133" t="s">
        <v>108</v>
      </c>
      <c r="D32" s="133" t="s">
        <v>115</v>
      </c>
      <c r="E32" s="141">
        <v>0</v>
      </c>
      <c r="F32" s="141">
        <v>0</v>
      </c>
      <c r="G32" s="141" t="e">
        <f t="shared" ref="G32:Q32" si="4">G30-$G$30</f>
        <v>#REF!</v>
      </c>
      <c r="H32" s="141" t="e">
        <f t="shared" si="4"/>
        <v>#REF!</v>
      </c>
      <c r="I32" s="142" t="e">
        <f t="shared" si="4"/>
        <v>#REF!</v>
      </c>
      <c r="J32" s="141" t="e">
        <f t="shared" si="4"/>
        <v>#REF!</v>
      </c>
      <c r="K32" s="141" t="e">
        <f t="shared" si="4"/>
        <v>#REF!</v>
      </c>
      <c r="L32" s="141" t="e">
        <f t="shared" si="4"/>
        <v>#REF!</v>
      </c>
      <c r="M32" s="141" t="e">
        <f t="shared" si="4"/>
        <v>#REF!</v>
      </c>
      <c r="N32" s="141" t="e">
        <f t="shared" si="4"/>
        <v>#REF!</v>
      </c>
      <c r="O32" s="141" t="e">
        <f t="shared" si="4"/>
        <v>#REF!</v>
      </c>
      <c r="P32" s="141" t="e">
        <f t="shared" si="4"/>
        <v>#REF!</v>
      </c>
      <c r="Q32" s="141" t="e">
        <f t="shared" si="4"/>
        <v>#REF!</v>
      </c>
      <c r="R32" s="133"/>
      <c r="S32" s="133" t="s">
        <v>100</v>
      </c>
    </row>
    <row r="33" spans="1:19" ht="101.25" customHeight="1" thickBot="1" x14ac:dyDescent="0.25">
      <c r="A33" s="137" t="s">
        <v>116</v>
      </c>
      <c r="B33" s="133" t="s">
        <v>117</v>
      </c>
      <c r="C33" s="133" t="s">
        <v>108</v>
      </c>
      <c r="D33" s="133" t="s">
        <v>118</v>
      </c>
      <c r="E33" s="133">
        <v>0</v>
      </c>
      <c r="F33" s="133">
        <v>0</v>
      </c>
      <c r="G33" s="133" t="e">
        <f>G31-$G$31</f>
        <v>#REF!</v>
      </c>
      <c r="H33" s="133" t="e">
        <f t="shared" ref="H33:Q33" si="5">H31-$G$31</f>
        <v>#REF!</v>
      </c>
      <c r="I33" s="141" t="e">
        <f t="shared" si="5"/>
        <v>#REF!</v>
      </c>
      <c r="J33" s="141" t="e">
        <f t="shared" si="5"/>
        <v>#REF!</v>
      </c>
      <c r="K33" s="141" t="e">
        <f t="shared" si="5"/>
        <v>#REF!</v>
      </c>
      <c r="L33" s="141" t="e">
        <f t="shared" si="5"/>
        <v>#REF!</v>
      </c>
      <c r="M33" s="141" t="e">
        <f t="shared" si="5"/>
        <v>#REF!</v>
      </c>
      <c r="N33" s="141" t="e">
        <f t="shared" si="5"/>
        <v>#REF!</v>
      </c>
      <c r="O33" s="141" t="e">
        <f t="shared" si="5"/>
        <v>#REF!</v>
      </c>
      <c r="P33" s="141" t="e">
        <f t="shared" si="5"/>
        <v>#REF!</v>
      </c>
      <c r="Q33" s="141" t="e">
        <f t="shared" si="5"/>
        <v>#REF!</v>
      </c>
      <c r="R33" s="133"/>
      <c r="S33" s="133" t="s">
        <v>100</v>
      </c>
    </row>
    <row r="34" spans="1:19" ht="189.75" customHeight="1" thickBot="1" x14ac:dyDescent="0.25">
      <c r="A34" s="137" t="s">
        <v>119</v>
      </c>
      <c r="B34" s="133" t="s">
        <v>120</v>
      </c>
      <c r="C34" s="133" t="s">
        <v>105</v>
      </c>
      <c r="D34" s="133" t="s">
        <v>121</v>
      </c>
      <c r="E34" s="141">
        <v>0</v>
      </c>
      <c r="F34" s="141">
        <v>0</v>
      </c>
      <c r="G34" s="141" t="e">
        <f t="shared" ref="G34:Q34" si="6">G31/G30-$G$31/$G$30</f>
        <v>#REF!</v>
      </c>
      <c r="H34" s="141" t="e">
        <f t="shared" si="6"/>
        <v>#REF!</v>
      </c>
      <c r="I34" s="141" t="e">
        <f t="shared" si="6"/>
        <v>#REF!</v>
      </c>
      <c r="J34" s="141" t="e">
        <f t="shared" si="6"/>
        <v>#REF!</v>
      </c>
      <c r="K34" s="141" t="e">
        <f t="shared" si="6"/>
        <v>#REF!</v>
      </c>
      <c r="L34" s="141" t="e">
        <f t="shared" si="6"/>
        <v>#REF!</v>
      </c>
      <c r="M34" s="141" t="e">
        <f t="shared" si="6"/>
        <v>#REF!</v>
      </c>
      <c r="N34" s="141" t="e">
        <f t="shared" si="6"/>
        <v>#REF!</v>
      </c>
      <c r="O34" s="141" t="e">
        <f t="shared" si="6"/>
        <v>#REF!</v>
      </c>
      <c r="P34" s="141" t="e">
        <f t="shared" si="6"/>
        <v>#REF!</v>
      </c>
      <c r="Q34" s="141" t="e">
        <f t="shared" si="6"/>
        <v>#REF!</v>
      </c>
      <c r="R34" s="133"/>
      <c r="S34" s="133"/>
    </row>
    <row r="35" spans="1:19" ht="101.25" customHeight="1" thickBot="1" x14ac:dyDescent="0.25">
      <c r="A35" s="144" t="s">
        <v>122</v>
      </c>
      <c r="B35" s="133" t="s">
        <v>123</v>
      </c>
      <c r="C35" s="133" t="s">
        <v>125</v>
      </c>
      <c r="D35" s="133" t="s">
        <v>103</v>
      </c>
      <c r="E35" s="140" t="e">
        <f>#REF!/#REF!</f>
        <v>#REF!</v>
      </c>
      <c r="F35" s="140" t="e">
        <f>#REF!/#REF!</f>
        <v>#REF!</v>
      </c>
      <c r="G35" s="140" t="e">
        <f>#REF!/#REF!</f>
        <v>#REF!</v>
      </c>
      <c r="H35" s="140" t="e">
        <f>#REF!/#REF!</f>
        <v>#REF!</v>
      </c>
      <c r="I35" s="140" t="e">
        <f>#REF!/#REF!</f>
        <v>#REF!</v>
      </c>
      <c r="J35" s="140" t="e">
        <f>#REF!/#REF!</f>
        <v>#REF!</v>
      </c>
      <c r="K35" s="140" t="e">
        <f>#REF!/#REF!</f>
        <v>#REF!</v>
      </c>
      <c r="L35" s="140" t="e">
        <f>#REF!/#REF!</f>
        <v>#REF!</v>
      </c>
      <c r="M35" s="140" t="e">
        <f>#REF!/#REF!</f>
        <v>#REF!</v>
      </c>
      <c r="N35" s="140" t="e">
        <f>#REF!/#REF!</f>
        <v>#REF!</v>
      </c>
      <c r="O35" s="140" t="e">
        <f>#REF!/#REF!</f>
        <v>#REF!</v>
      </c>
      <c r="P35" s="140" t="e">
        <f>#REF!/#REF!</f>
        <v>#REF!</v>
      </c>
      <c r="Q35" s="140" t="e">
        <f>#REF!/#REF!</f>
        <v>#REF!</v>
      </c>
      <c r="R35" s="133"/>
      <c r="S35" s="133"/>
    </row>
    <row r="36" spans="1:19" ht="99" customHeight="1" thickBot="1" x14ac:dyDescent="0.25">
      <c r="A36" s="137" t="s">
        <v>126</v>
      </c>
      <c r="B36" s="133" t="s">
        <v>127</v>
      </c>
      <c r="C36" s="133" t="s">
        <v>125</v>
      </c>
      <c r="D36" s="133" t="s">
        <v>106</v>
      </c>
      <c r="E36" s="133">
        <v>0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33">
        <v>0</v>
      </c>
      <c r="P36" s="133">
        <v>0</v>
      </c>
      <c r="Q36" s="133">
        <v>0</v>
      </c>
      <c r="R36" s="133"/>
      <c r="S36" s="133"/>
    </row>
    <row r="37" spans="1:19" ht="94.5" customHeight="1" thickBot="1" x14ac:dyDescent="0.25">
      <c r="A37" s="137" t="s">
        <v>128</v>
      </c>
      <c r="B37" s="133" t="s">
        <v>129</v>
      </c>
      <c r="C37" s="133" t="s">
        <v>125</v>
      </c>
      <c r="D37" s="133" t="s">
        <v>130</v>
      </c>
      <c r="E37" s="133">
        <v>0</v>
      </c>
      <c r="F37" s="133">
        <v>0</v>
      </c>
      <c r="G37" s="133" t="e">
        <f t="shared" ref="G37:Q37" si="7">G35-$G$35</f>
        <v>#REF!</v>
      </c>
      <c r="H37" s="140" t="e">
        <f t="shared" si="7"/>
        <v>#REF!</v>
      </c>
      <c r="I37" s="140" t="e">
        <f t="shared" si="7"/>
        <v>#REF!</v>
      </c>
      <c r="J37" s="140" t="e">
        <f t="shared" si="7"/>
        <v>#REF!</v>
      </c>
      <c r="K37" s="140" t="e">
        <f t="shared" si="7"/>
        <v>#REF!</v>
      </c>
      <c r="L37" s="140" t="e">
        <f t="shared" si="7"/>
        <v>#REF!</v>
      </c>
      <c r="M37" s="140" t="e">
        <f t="shared" si="7"/>
        <v>#REF!</v>
      </c>
      <c r="N37" s="140" t="e">
        <f t="shared" si="7"/>
        <v>#REF!</v>
      </c>
      <c r="O37" s="140" t="e">
        <f t="shared" si="7"/>
        <v>#REF!</v>
      </c>
      <c r="P37" s="140" t="e">
        <f t="shared" si="7"/>
        <v>#REF!</v>
      </c>
      <c r="Q37" s="140" t="e">
        <f t="shared" si="7"/>
        <v>#REF!</v>
      </c>
      <c r="R37" s="133"/>
      <c r="S37" s="133" t="s">
        <v>100</v>
      </c>
    </row>
    <row r="38" spans="1:19" ht="97.5" customHeight="1" thickBot="1" x14ac:dyDescent="0.25">
      <c r="A38" s="137" t="s">
        <v>131</v>
      </c>
      <c r="B38" s="133" t="s">
        <v>132</v>
      </c>
      <c r="C38" s="133" t="s">
        <v>125</v>
      </c>
      <c r="D38" s="133" t="s">
        <v>133</v>
      </c>
      <c r="E38" s="133">
        <f>E36-$G$36</f>
        <v>0</v>
      </c>
      <c r="F38" s="133">
        <f t="shared" ref="F38:Q38" si="8">F36-$G$36</f>
        <v>0</v>
      </c>
      <c r="G38" s="133">
        <f t="shared" si="8"/>
        <v>0</v>
      </c>
      <c r="H38" s="133">
        <f t="shared" si="8"/>
        <v>0</v>
      </c>
      <c r="I38" s="133">
        <f t="shared" si="8"/>
        <v>0</v>
      </c>
      <c r="J38" s="133">
        <f t="shared" si="8"/>
        <v>0</v>
      </c>
      <c r="K38" s="133">
        <f t="shared" si="8"/>
        <v>0</v>
      </c>
      <c r="L38" s="133">
        <f t="shared" si="8"/>
        <v>0</v>
      </c>
      <c r="M38" s="133">
        <f t="shared" si="8"/>
        <v>0</v>
      </c>
      <c r="N38" s="133">
        <f t="shared" si="8"/>
        <v>0</v>
      </c>
      <c r="O38" s="133">
        <f t="shared" si="8"/>
        <v>0</v>
      </c>
      <c r="P38" s="133">
        <f t="shared" si="8"/>
        <v>0</v>
      </c>
      <c r="Q38" s="133">
        <f t="shared" si="8"/>
        <v>0</v>
      </c>
      <c r="R38" s="133"/>
      <c r="S38" s="133" t="s">
        <v>100</v>
      </c>
    </row>
    <row r="39" spans="1:19" ht="186" customHeight="1" thickBot="1" x14ac:dyDescent="0.25">
      <c r="A39" s="137" t="s">
        <v>134</v>
      </c>
      <c r="B39" s="133" t="s">
        <v>135</v>
      </c>
      <c r="C39" s="133" t="s">
        <v>105</v>
      </c>
      <c r="D39" s="133" t="s">
        <v>136</v>
      </c>
      <c r="E39" s="138" t="e">
        <f>E36/E35-$G$36/$G$35</f>
        <v>#REF!</v>
      </c>
      <c r="F39" s="138" t="e">
        <f t="shared" ref="F39:Q39" si="9">F36/F35-$G$36/$G$35</f>
        <v>#REF!</v>
      </c>
      <c r="G39" s="138" t="e">
        <f t="shared" si="9"/>
        <v>#REF!</v>
      </c>
      <c r="H39" s="138" t="e">
        <f t="shared" si="9"/>
        <v>#REF!</v>
      </c>
      <c r="I39" s="138" t="e">
        <f t="shared" si="9"/>
        <v>#REF!</v>
      </c>
      <c r="J39" s="138" t="e">
        <f t="shared" si="9"/>
        <v>#REF!</v>
      </c>
      <c r="K39" s="138" t="e">
        <f t="shared" si="9"/>
        <v>#REF!</v>
      </c>
      <c r="L39" s="138" t="e">
        <f t="shared" si="9"/>
        <v>#REF!</v>
      </c>
      <c r="M39" s="138" t="e">
        <f t="shared" si="9"/>
        <v>#REF!</v>
      </c>
      <c r="N39" s="138" t="e">
        <f t="shared" si="9"/>
        <v>#REF!</v>
      </c>
      <c r="O39" s="138" t="e">
        <f t="shared" si="9"/>
        <v>#REF!</v>
      </c>
      <c r="P39" s="138" t="e">
        <f t="shared" si="9"/>
        <v>#REF!</v>
      </c>
      <c r="Q39" s="138" t="e">
        <f t="shared" si="9"/>
        <v>#REF!</v>
      </c>
      <c r="R39" s="133"/>
      <c r="S39" s="133"/>
    </row>
    <row r="40" spans="1:19" ht="128.25" customHeight="1" thickBot="1" x14ac:dyDescent="0.25">
      <c r="A40" s="137" t="s">
        <v>137</v>
      </c>
      <c r="B40" s="133" t="s">
        <v>138</v>
      </c>
      <c r="C40" s="133" t="s">
        <v>15</v>
      </c>
      <c r="D40" s="145" t="s">
        <v>139</v>
      </c>
      <c r="E40" s="140" t="e">
        <f>#REF!/(#REF!+#REF!)*100</f>
        <v>#REF!</v>
      </c>
      <c r="F40" s="140" t="e">
        <f>#REF!/(#REF!+#REF!)*100</f>
        <v>#REF!</v>
      </c>
      <c r="G40" s="140" t="e">
        <f>#REF!/(#REF!+#REF!)*100</f>
        <v>#REF!</v>
      </c>
      <c r="H40" s="140" t="e">
        <f>#REF!/(#REF!+#REF!)*100</f>
        <v>#REF!</v>
      </c>
      <c r="I40" s="140" t="e">
        <f>#REF!/(#REF!+#REF!)*100</f>
        <v>#REF!</v>
      </c>
      <c r="J40" s="140" t="e">
        <f>#REF!/(#REF!+#REF!)*100</f>
        <v>#REF!</v>
      </c>
      <c r="K40" s="140" t="e">
        <f>#REF!/(#REF!+#REF!)*100</f>
        <v>#REF!</v>
      </c>
      <c r="L40" s="140" t="e">
        <f>#REF!/(#REF!+#REF!)*100</f>
        <v>#REF!</v>
      </c>
      <c r="M40" s="140" t="e">
        <f>#REF!/(#REF!+#REF!)*100</f>
        <v>#REF!</v>
      </c>
      <c r="N40" s="140" t="e">
        <f>#REF!/(#REF!+#REF!)*100</f>
        <v>#REF!</v>
      </c>
      <c r="O40" s="140" t="e">
        <f>#REF!/(#REF!+#REF!)*100</f>
        <v>#REF!</v>
      </c>
      <c r="P40" s="140" t="e">
        <f>#REF!/(#REF!+#REF!)*100</f>
        <v>#REF!</v>
      </c>
      <c r="Q40" s="140" t="e">
        <f>#REF!/(#REF!+#REF!)*100</f>
        <v>#REF!</v>
      </c>
      <c r="R40" s="133"/>
      <c r="S40" s="133"/>
    </row>
    <row r="41" spans="1:19" ht="135" customHeight="1" thickBot="1" x14ac:dyDescent="0.25">
      <c r="A41" s="137" t="s">
        <v>140</v>
      </c>
      <c r="B41" s="133" t="s">
        <v>141</v>
      </c>
      <c r="C41" s="133" t="s">
        <v>15</v>
      </c>
      <c r="D41" s="143" t="s">
        <v>142</v>
      </c>
      <c r="E41" s="140" t="e">
        <f>#REF!/(#REF!+#REF!)*100</f>
        <v>#REF!</v>
      </c>
      <c r="F41" s="140" t="e">
        <f>#REF!/(#REF!+#REF!)*100</f>
        <v>#REF!</v>
      </c>
      <c r="G41" s="140" t="e">
        <f>#REF!/(#REF!+#REF!)*100</f>
        <v>#REF!</v>
      </c>
      <c r="H41" s="140" t="e">
        <f>#REF!/(#REF!+#REF!)*100</f>
        <v>#REF!</v>
      </c>
      <c r="I41" s="140" t="e">
        <f>#REF!/(#REF!+#REF!)*100</f>
        <v>#REF!</v>
      </c>
      <c r="J41" s="140" t="e">
        <f>#REF!/(#REF!+#REF!)*100</f>
        <v>#REF!</v>
      </c>
      <c r="K41" s="140" t="e">
        <f>#REF!/(#REF!+#REF!)*100</f>
        <v>#REF!</v>
      </c>
      <c r="L41" s="140" t="e">
        <f>#REF!/(#REF!+#REF!)*100</f>
        <v>#REF!</v>
      </c>
      <c r="M41" s="140" t="e">
        <f>#REF!/(#REF!+#REF!)*100</f>
        <v>#REF!</v>
      </c>
      <c r="N41" s="140" t="e">
        <f>#REF!/(#REF!+#REF!)*100</f>
        <v>#REF!</v>
      </c>
      <c r="O41" s="140" t="e">
        <f>#REF!/(#REF!+#REF!)*100</f>
        <v>#REF!</v>
      </c>
      <c r="P41" s="140" t="e">
        <f>#REF!/(#REF!+#REF!)*100</f>
        <v>#REF!</v>
      </c>
      <c r="Q41" s="140" t="e">
        <f>#REF!/(#REF!+#REF!)*100</f>
        <v>#REF!</v>
      </c>
      <c r="R41" s="133"/>
      <c r="S41" s="133"/>
    </row>
    <row r="42" spans="1:19" ht="123.75" customHeight="1" thickBot="1" x14ac:dyDescent="0.25">
      <c r="A42" s="137" t="s">
        <v>143</v>
      </c>
      <c r="B42" s="133" t="s">
        <v>144</v>
      </c>
      <c r="C42" s="133" t="s">
        <v>15</v>
      </c>
      <c r="D42" s="133" t="s">
        <v>145</v>
      </c>
      <c r="E42" s="141" t="e">
        <f>#REF!/(#REF!+#REF!)*100</f>
        <v>#REF!</v>
      </c>
      <c r="F42" s="141" t="e">
        <f>#REF!/(#REF!+#REF!)*100</f>
        <v>#REF!</v>
      </c>
      <c r="G42" s="141" t="e">
        <f>#REF!/(#REF!+#REF!)*100</f>
        <v>#REF!</v>
      </c>
      <c r="H42" s="141" t="e">
        <f>#REF!/(#REF!+#REF!)*100</f>
        <v>#REF!</v>
      </c>
      <c r="I42" s="140" t="e">
        <f>#REF!/(#REF!+#REF!)*100</f>
        <v>#REF!</v>
      </c>
      <c r="J42" s="140" t="e">
        <f>#REF!/(#REF!+#REF!)*100</f>
        <v>#REF!</v>
      </c>
      <c r="K42" s="140" t="e">
        <f>#REF!/(#REF!+#REF!)*100</f>
        <v>#REF!</v>
      </c>
      <c r="L42" s="140" t="e">
        <f>#REF!/(#REF!+#REF!)*100</f>
        <v>#REF!</v>
      </c>
      <c r="M42" s="140" t="e">
        <f>#REF!/(#REF!+#REF!)*100</f>
        <v>#REF!</v>
      </c>
      <c r="N42" s="140" t="e">
        <f>#REF!/(#REF!+#REF!)*100</f>
        <v>#REF!</v>
      </c>
      <c r="O42" s="140" t="e">
        <f>#REF!/(#REF!+#REF!)*100</f>
        <v>#REF!</v>
      </c>
      <c r="P42" s="140" t="e">
        <f>#REF!/(#REF!+#REF!)*100</f>
        <v>#REF!</v>
      </c>
      <c r="Q42" s="140" t="e">
        <f>#REF!/(#REF!+#REF!)*100</f>
        <v>#REF!</v>
      </c>
      <c r="R42" s="133"/>
      <c r="S42" s="133"/>
    </row>
    <row r="43" spans="1:19" ht="150.75" customHeight="1" thickBot="1" x14ac:dyDescent="0.25">
      <c r="A43" s="137" t="s">
        <v>146</v>
      </c>
      <c r="B43" s="133" t="s">
        <v>147</v>
      </c>
      <c r="C43" s="133" t="s">
        <v>15</v>
      </c>
      <c r="D43" s="133" t="s">
        <v>148</v>
      </c>
      <c r="E43" s="140" t="e">
        <f>(#REF!/#REF!)*100</f>
        <v>#REF!</v>
      </c>
      <c r="F43" s="140" t="e">
        <f>(#REF!/#REF!)*100</f>
        <v>#REF!</v>
      </c>
      <c r="G43" s="140" t="e">
        <f>(#REF!/#REF!)*100</f>
        <v>#REF!</v>
      </c>
      <c r="H43" s="140" t="e">
        <f>(#REF!/#REF!)*100</f>
        <v>#REF!</v>
      </c>
      <c r="I43" s="140" t="e">
        <f>(#REF!/#REF!)*100</f>
        <v>#REF!</v>
      </c>
      <c r="J43" s="140" t="e">
        <f>(#REF!/#REF!)*100</f>
        <v>#REF!</v>
      </c>
      <c r="K43" s="140" t="e">
        <f>(#REF!/#REF!)*100</f>
        <v>#REF!</v>
      </c>
      <c r="L43" s="140" t="e">
        <f>(#REF!/#REF!)*100</f>
        <v>#REF!</v>
      </c>
      <c r="M43" s="140" t="e">
        <f>(#REF!/#REF!)*100</f>
        <v>#REF!</v>
      </c>
      <c r="N43" s="140" t="e">
        <f>(#REF!/#REF!)*100</f>
        <v>#REF!</v>
      </c>
      <c r="O43" s="140" t="e">
        <f>(#REF!/#REF!)*100</f>
        <v>#REF!</v>
      </c>
      <c r="P43" s="140" t="e">
        <f>(#REF!/#REF!)*100</f>
        <v>#REF!</v>
      </c>
      <c r="Q43" s="140" t="e">
        <f>(#REF!/#REF!)*100</f>
        <v>#REF!</v>
      </c>
      <c r="R43" s="133"/>
      <c r="S43" s="133"/>
    </row>
    <row r="44" spans="1:19" ht="67.5" customHeight="1" thickBot="1" x14ac:dyDescent="0.25">
      <c r="A44" s="137" t="s">
        <v>149</v>
      </c>
      <c r="B44" s="133" t="s">
        <v>150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spans="1:19" ht="81.75" customHeight="1" thickBot="1" x14ac:dyDescent="0.25">
      <c r="A45" s="137" t="s">
        <v>151</v>
      </c>
      <c r="B45" s="133" t="s">
        <v>152</v>
      </c>
      <c r="C45" s="133" t="s">
        <v>15</v>
      </c>
      <c r="D45" s="133" t="s">
        <v>153</v>
      </c>
      <c r="E45" s="142" t="e">
        <f>#REF!/#REF!</f>
        <v>#REF!</v>
      </c>
      <c r="F45" s="142" t="e">
        <f>#REF!/#REF!</f>
        <v>#REF!</v>
      </c>
      <c r="G45" s="195" t="e">
        <f>#REF!/#REF!</f>
        <v>#REF!</v>
      </c>
      <c r="H45" s="195" t="e">
        <f>#REF!/#REF!</f>
        <v>#REF!</v>
      </c>
      <c r="I45" s="195" t="e">
        <f>#REF!/#REF!</f>
        <v>#REF!</v>
      </c>
      <c r="J45" s="195" t="e">
        <f>#REF!/#REF!</f>
        <v>#REF!</v>
      </c>
      <c r="K45" s="195" t="e">
        <f>#REF!/#REF!</f>
        <v>#REF!</v>
      </c>
      <c r="L45" s="195" t="e">
        <f>#REF!/#REF!</f>
        <v>#REF!</v>
      </c>
      <c r="M45" s="195" t="e">
        <f>#REF!/#REF!</f>
        <v>#REF!</v>
      </c>
      <c r="N45" s="195" t="e">
        <f>#REF!/#REF!</f>
        <v>#REF!</v>
      </c>
      <c r="O45" s="195" t="e">
        <f>#REF!/#REF!</f>
        <v>#REF!</v>
      </c>
      <c r="P45" s="195" t="e">
        <f>#REF!/#REF!</f>
        <v>#REF!</v>
      </c>
      <c r="Q45" s="195" t="e">
        <f>#REF!/#REF!</f>
        <v>#REF!</v>
      </c>
      <c r="R45" s="133"/>
      <c r="S45" s="133" t="s">
        <v>157</v>
      </c>
    </row>
    <row r="46" spans="1:19" ht="37.5" customHeight="1" thickBot="1" x14ac:dyDescent="0.25">
      <c r="A46" s="144" t="s">
        <v>158</v>
      </c>
      <c r="B46" s="133" t="s">
        <v>159</v>
      </c>
      <c r="C46" s="133" t="s">
        <v>15</v>
      </c>
      <c r="D46" s="133" t="s">
        <v>160</v>
      </c>
      <c r="E46" s="142" t="e">
        <f>#REF!/#REF!</f>
        <v>#REF!</v>
      </c>
      <c r="F46" s="142" t="e">
        <f>#REF!/#REF!</f>
        <v>#REF!</v>
      </c>
      <c r="G46" s="142" t="e">
        <f>#REF!/#REF!</f>
        <v>#REF!</v>
      </c>
      <c r="H46" s="142" t="e">
        <f>#REF!/#REF!</f>
        <v>#REF!</v>
      </c>
      <c r="I46" s="142" t="e">
        <f>#REF!/#REF!</f>
        <v>#REF!</v>
      </c>
      <c r="J46" s="142" t="e">
        <f>#REF!/#REF!</f>
        <v>#REF!</v>
      </c>
      <c r="K46" s="142" t="e">
        <f>#REF!/#REF!</f>
        <v>#REF!</v>
      </c>
      <c r="L46" s="142" t="e">
        <f>#REF!/#REF!</f>
        <v>#REF!</v>
      </c>
      <c r="M46" s="142" t="e">
        <f>#REF!/#REF!</f>
        <v>#REF!</v>
      </c>
      <c r="N46" s="142" t="e">
        <f>#REF!/#REF!</f>
        <v>#REF!</v>
      </c>
      <c r="O46" s="142" t="e">
        <f>#REF!/#REF!</f>
        <v>#REF!</v>
      </c>
      <c r="P46" s="142" t="e">
        <f>#REF!/#REF!</f>
        <v>#REF!</v>
      </c>
      <c r="Q46" s="142" t="e">
        <f>#REF!/#REF!</f>
        <v>#REF!</v>
      </c>
      <c r="R46" s="133"/>
      <c r="S46" s="133"/>
    </row>
    <row r="47" spans="1:19" ht="105.75" thickBot="1" x14ac:dyDescent="0.25">
      <c r="A47" s="137" t="s">
        <v>161</v>
      </c>
      <c r="B47" s="133" t="s">
        <v>162</v>
      </c>
      <c r="C47" s="146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</row>
    <row r="48" spans="1:19" ht="15.75" thickBot="1" x14ac:dyDescent="0.25">
      <c r="A48" s="144" t="s">
        <v>163</v>
      </c>
      <c r="B48" s="133" t="s">
        <v>152</v>
      </c>
      <c r="C48" s="133" t="s">
        <v>15</v>
      </c>
      <c r="D48" s="133" t="s">
        <v>164</v>
      </c>
      <c r="E48" s="141" t="e">
        <f>(F45/E45)*100</f>
        <v>#REF!</v>
      </c>
      <c r="F48" s="141" t="e">
        <f t="shared" ref="F48:P48" si="10">(G45/F45)*100</f>
        <v>#REF!</v>
      </c>
      <c r="G48" s="141" t="e">
        <f t="shared" si="10"/>
        <v>#REF!</v>
      </c>
      <c r="H48" s="141" t="e">
        <f t="shared" si="10"/>
        <v>#REF!</v>
      </c>
      <c r="I48" s="141" t="e">
        <f t="shared" si="10"/>
        <v>#REF!</v>
      </c>
      <c r="J48" s="141" t="e">
        <f t="shared" si="10"/>
        <v>#REF!</v>
      </c>
      <c r="K48" s="141" t="e">
        <f t="shared" si="10"/>
        <v>#REF!</v>
      </c>
      <c r="L48" s="141" t="e">
        <f t="shared" si="10"/>
        <v>#REF!</v>
      </c>
      <c r="M48" s="141" t="e">
        <f t="shared" si="10"/>
        <v>#REF!</v>
      </c>
      <c r="N48" s="141" t="e">
        <f t="shared" si="10"/>
        <v>#REF!</v>
      </c>
      <c r="O48" s="141" t="e">
        <f t="shared" si="10"/>
        <v>#REF!</v>
      </c>
      <c r="P48" s="141" t="e">
        <f t="shared" si="10"/>
        <v>#REF!</v>
      </c>
      <c r="Q48" s="141">
        <v>100</v>
      </c>
      <c r="R48" s="133"/>
      <c r="S48" s="133" t="s">
        <v>100</v>
      </c>
    </row>
    <row r="49" spans="1:19" ht="33.75" customHeight="1" thickBot="1" x14ac:dyDescent="0.25">
      <c r="A49" s="137" t="s">
        <v>165</v>
      </c>
      <c r="B49" s="133" t="s">
        <v>159</v>
      </c>
      <c r="C49" s="133" t="s">
        <v>15</v>
      </c>
      <c r="D49" s="133" t="s">
        <v>166</v>
      </c>
      <c r="E49" s="141" t="e">
        <f>(E46/$G$46)*100</f>
        <v>#REF!</v>
      </c>
      <c r="F49" s="141" t="e">
        <f t="shared" ref="F49:Q49" si="11">(F46/$G$46)*100</f>
        <v>#REF!</v>
      </c>
      <c r="G49" s="141" t="e">
        <f t="shared" si="11"/>
        <v>#REF!</v>
      </c>
      <c r="H49" s="141" t="e">
        <f t="shared" si="11"/>
        <v>#REF!</v>
      </c>
      <c r="I49" s="141" t="e">
        <f t="shared" si="11"/>
        <v>#REF!</v>
      </c>
      <c r="J49" s="141" t="e">
        <f t="shared" si="11"/>
        <v>#REF!</v>
      </c>
      <c r="K49" s="141" t="e">
        <f t="shared" si="11"/>
        <v>#REF!</v>
      </c>
      <c r="L49" s="141" t="e">
        <f t="shared" si="11"/>
        <v>#REF!</v>
      </c>
      <c r="M49" s="141" t="e">
        <f t="shared" si="11"/>
        <v>#REF!</v>
      </c>
      <c r="N49" s="141" t="e">
        <f t="shared" si="11"/>
        <v>#REF!</v>
      </c>
      <c r="O49" s="141" t="e">
        <f t="shared" si="11"/>
        <v>#REF!</v>
      </c>
      <c r="P49" s="141" t="e">
        <f t="shared" si="11"/>
        <v>#REF!</v>
      </c>
      <c r="Q49" s="141" t="e">
        <f t="shared" si="11"/>
        <v>#REF!</v>
      </c>
      <c r="R49" s="133"/>
      <c r="S49" s="133" t="s">
        <v>100</v>
      </c>
    </row>
    <row r="50" spans="1:19" ht="90" customHeight="1" thickBot="1" x14ac:dyDescent="0.25">
      <c r="A50" s="137" t="s">
        <v>167</v>
      </c>
      <c r="B50" s="133" t="s">
        <v>168</v>
      </c>
      <c r="C50" s="133" t="s">
        <v>15</v>
      </c>
      <c r="D50" s="133" t="s">
        <v>169</v>
      </c>
      <c r="E50" s="133" t="e">
        <f>(#REF!/#REF!)*100</f>
        <v>#REF!</v>
      </c>
      <c r="F50" s="133" t="e">
        <f>(#REF!/#REF!)*100</f>
        <v>#REF!</v>
      </c>
      <c r="G50" s="133" t="e">
        <f>(#REF!/#REF!)*100</f>
        <v>#REF!</v>
      </c>
      <c r="H50" s="133" t="e">
        <f>(#REF!/#REF!)*100</f>
        <v>#REF!</v>
      </c>
      <c r="I50" s="133" t="e">
        <f>(#REF!/#REF!)*100</f>
        <v>#REF!</v>
      </c>
      <c r="J50" s="133" t="e">
        <f>(#REF!/#REF!)*100</f>
        <v>#REF!</v>
      </c>
      <c r="K50" s="133" t="e">
        <f>(#REF!/#REF!)*100</f>
        <v>#REF!</v>
      </c>
      <c r="L50" s="133" t="e">
        <f>(#REF!/#REF!)*100</f>
        <v>#REF!</v>
      </c>
      <c r="M50" s="133" t="e">
        <f>(#REF!/#REF!)*100</f>
        <v>#REF!</v>
      </c>
      <c r="N50" s="133" t="e">
        <f>(#REF!/#REF!)*100</f>
        <v>#REF!</v>
      </c>
      <c r="O50" s="133" t="e">
        <f>(#REF!/#REF!)*100</f>
        <v>#REF!</v>
      </c>
      <c r="P50" s="133" t="e">
        <f>(#REF!/#REF!)*100</f>
        <v>#REF!</v>
      </c>
      <c r="Q50" s="133" t="e">
        <f>(#REF!/#REF!)*100</f>
        <v>#REF!</v>
      </c>
      <c r="R50" s="133"/>
      <c r="S50" s="133"/>
    </row>
    <row r="51" spans="1:19" ht="99" customHeight="1" thickBot="1" x14ac:dyDescent="0.25">
      <c r="A51" s="137" t="s">
        <v>170</v>
      </c>
      <c r="B51" s="133" t="s">
        <v>172</v>
      </c>
      <c r="C51" s="133" t="s">
        <v>15</v>
      </c>
      <c r="D51" s="133" t="s">
        <v>173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/>
      <c r="S51" s="133" t="s">
        <v>100</v>
      </c>
    </row>
    <row r="52" spans="1:19" ht="111" customHeight="1" thickBot="1" x14ac:dyDescent="0.25">
      <c r="A52" s="137" t="s">
        <v>174</v>
      </c>
      <c r="B52" s="133" t="s">
        <v>175</v>
      </c>
      <c r="C52" s="133" t="s">
        <v>15</v>
      </c>
      <c r="D52" s="133" t="s">
        <v>177</v>
      </c>
      <c r="E52" s="141" t="e">
        <f>(#REF!/#REF!)*100</f>
        <v>#REF!</v>
      </c>
      <c r="F52" s="141" t="e">
        <f>(#REF!/#REF!)*100</f>
        <v>#REF!</v>
      </c>
      <c r="G52" s="141" t="e">
        <f>(#REF!/#REF!)*100</f>
        <v>#REF!</v>
      </c>
      <c r="H52" s="141" t="e">
        <f>(#REF!/#REF!)*100</f>
        <v>#REF!</v>
      </c>
      <c r="I52" s="141" t="e">
        <f>(#REF!/#REF!)*100</f>
        <v>#REF!</v>
      </c>
      <c r="J52" s="141" t="e">
        <f>(#REF!/#REF!)*100</f>
        <v>#REF!</v>
      </c>
      <c r="K52" s="141" t="e">
        <f>(#REF!/#REF!)*100</f>
        <v>#REF!</v>
      </c>
      <c r="L52" s="141" t="e">
        <f>(#REF!/#REF!)*100</f>
        <v>#REF!</v>
      </c>
      <c r="M52" s="141" t="e">
        <f>(#REF!/#REF!)*100</f>
        <v>#REF!</v>
      </c>
      <c r="N52" s="141" t="e">
        <f>(#REF!/#REF!)*100</f>
        <v>#REF!</v>
      </c>
      <c r="O52" s="141" t="e">
        <f>(#REF!/#REF!)*100</f>
        <v>#REF!</v>
      </c>
      <c r="P52" s="141" t="e">
        <f>(#REF!/#REF!)*100</f>
        <v>#REF!</v>
      </c>
      <c r="Q52" s="141" t="e">
        <f>(#REF!/#REF!)*100</f>
        <v>#REF!</v>
      </c>
      <c r="R52" s="133"/>
      <c r="S52" s="133"/>
    </row>
    <row r="53" spans="1:19" ht="70.5" customHeight="1" thickBot="1" x14ac:dyDescent="0.25">
      <c r="A53" s="137" t="s">
        <v>178</v>
      </c>
      <c r="B53" s="133" t="s">
        <v>179</v>
      </c>
      <c r="C53" s="133" t="s">
        <v>540</v>
      </c>
      <c r="D53" s="133" t="s">
        <v>180</v>
      </c>
      <c r="E53" s="133" t="e">
        <f>#REF!</f>
        <v>#REF!</v>
      </c>
      <c r="F53" s="133" t="e">
        <f>#REF!</f>
        <v>#REF!</v>
      </c>
      <c r="G53" s="133" t="e">
        <f>#REF!</f>
        <v>#REF!</v>
      </c>
      <c r="H53" s="133" t="e">
        <f>#REF!</f>
        <v>#REF!</v>
      </c>
      <c r="I53" s="133" t="e">
        <f>#REF!</f>
        <v>#REF!</v>
      </c>
      <c r="J53" s="133" t="e">
        <f>#REF!</f>
        <v>#REF!</v>
      </c>
      <c r="K53" s="133" t="e">
        <f>#REF!</f>
        <v>#REF!</v>
      </c>
      <c r="L53" s="133" t="e">
        <f>#REF!</f>
        <v>#REF!</v>
      </c>
      <c r="M53" s="133" t="e">
        <f>#REF!</f>
        <v>#REF!</v>
      </c>
      <c r="N53" s="133" t="e">
        <f>#REF!</f>
        <v>#REF!</v>
      </c>
      <c r="O53" s="133" t="e">
        <f>#REF!</f>
        <v>#REF!</v>
      </c>
      <c r="P53" s="133" t="e">
        <f>#REF!</f>
        <v>#REF!</v>
      </c>
      <c r="Q53" s="133" t="e">
        <f>#REF!</f>
        <v>#REF!</v>
      </c>
      <c r="R53" s="133"/>
      <c r="S53" s="133"/>
    </row>
    <row r="54" spans="1:19" ht="135.75" customHeight="1" thickBot="1" x14ac:dyDescent="0.25">
      <c r="A54" s="137" t="s">
        <v>181</v>
      </c>
      <c r="B54" s="133" t="s">
        <v>182</v>
      </c>
      <c r="C54" s="133" t="s">
        <v>15</v>
      </c>
      <c r="D54" s="133" t="s">
        <v>183</v>
      </c>
      <c r="E54" s="133" t="e">
        <f>(#REF!/#REF!)*100</f>
        <v>#REF!</v>
      </c>
      <c r="F54" s="133" t="e">
        <f>(#REF!/#REF!)*100</f>
        <v>#REF!</v>
      </c>
      <c r="G54" s="133" t="e">
        <f>(#REF!/#REF!)*100</f>
        <v>#REF!</v>
      </c>
      <c r="H54" s="133" t="e">
        <f>(#REF!/#REF!)*100</f>
        <v>#REF!</v>
      </c>
      <c r="I54" s="133" t="e">
        <f>(#REF!/#REF!)*100</f>
        <v>#REF!</v>
      </c>
      <c r="J54" s="140" t="e">
        <f>(#REF!/#REF!)*100</f>
        <v>#REF!</v>
      </c>
      <c r="K54" s="140" t="e">
        <f>(#REF!/#REF!)*100</f>
        <v>#REF!</v>
      </c>
      <c r="L54" s="140" t="e">
        <f>(#REF!/#REF!)*100</f>
        <v>#REF!</v>
      </c>
      <c r="M54" s="140" t="e">
        <f>(#REF!/#REF!)*100</f>
        <v>#REF!</v>
      </c>
      <c r="N54" s="140" t="e">
        <f>(#REF!/#REF!)*100</f>
        <v>#REF!</v>
      </c>
      <c r="O54" s="140" t="e">
        <f>(#REF!/#REF!)*100</f>
        <v>#REF!</v>
      </c>
      <c r="P54" s="140" t="e">
        <f>(#REF!/#REF!)*100</f>
        <v>#REF!</v>
      </c>
      <c r="Q54" s="140" t="e">
        <f>(#REF!/#REF!)*100</f>
        <v>#REF!</v>
      </c>
      <c r="R54" s="140"/>
      <c r="S54" s="140"/>
    </row>
    <row r="55" spans="1:19" ht="163.5" customHeight="1" thickBot="1" x14ac:dyDescent="0.25">
      <c r="A55" s="137" t="s">
        <v>184</v>
      </c>
      <c r="B55" s="196" t="s">
        <v>185</v>
      </c>
      <c r="C55" s="133" t="s">
        <v>15</v>
      </c>
      <c r="D55" s="133" t="s">
        <v>186</v>
      </c>
      <c r="E55" s="141" t="e">
        <f>(#REF!/#REF!)*100</f>
        <v>#REF!</v>
      </c>
      <c r="F55" s="141" t="e">
        <f>(#REF!/#REF!)*100</f>
        <v>#REF!</v>
      </c>
      <c r="G55" s="141" t="e">
        <f>(#REF!/#REF!)*100</f>
        <v>#REF!</v>
      </c>
      <c r="H55" s="141" t="e">
        <f>(#REF!/#REF!)*100</f>
        <v>#REF!</v>
      </c>
      <c r="I55" s="141" t="e">
        <f>(#REF!/#REF!)*100</f>
        <v>#REF!</v>
      </c>
      <c r="J55" s="141" t="e">
        <f>(#REF!/#REF!)*100</f>
        <v>#REF!</v>
      </c>
      <c r="K55" s="141" t="e">
        <f>(#REF!/#REF!)*100</f>
        <v>#REF!</v>
      </c>
      <c r="L55" s="141" t="e">
        <f>(#REF!/#REF!)*100</f>
        <v>#REF!</v>
      </c>
      <c r="M55" s="148" t="e">
        <f>(#REF!/#REF!)*100</f>
        <v>#REF!</v>
      </c>
      <c r="N55" s="148" t="e">
        <f>(#REF!/#REF!)*100</f>
        <v>#REF!</v>
      </c>
      <c r="O55" s="148" t="e">
        <f>(#REF!/#REF!)*100</f>
        <v>#REF!</v>
      </c>
      <c r="P55" s="148" t="e">
        <f>(#REF!/#REF!)*100</f>
        <v>#REF!</v>
      </c>
      <c r="Q55" s="148" t="e">
        <f>(#REF!/#REF!)*100</f>
        <v>#REF!</v>
      </c>
      <c r="R55" s="133"/>
      <c r="S55" s="133"/>
    </row>
    <row r="56" spans="1:19" ht="122.25" customHeight="1" thickBot="1" x14ac:dyDescent="0.25">
      <c r="A56" s="137" t="s">
        <v>187</v>
      </c>
      <c r="B56" s="133" t="s">
        <v>189</v>
      </c>
      <c r="C56" s="133" t="s">
        <v>190</v>
      </c>
      <c r="D56" s="133" t="s">
        <v>191</v>
      </c>
      <c r="E56" s="154">
        <v>0</v>
      </c>
      <c r="F56" s="154">
        <v>0</v>
      </c>
      <c r="G56" s="154">
        <v>0</v>
      </c>
      <c r="H56" s="154">
        <v>0</v>
      </c>
      <c r="I56" s="154">
        <v>0</v>
      </c>
      <c r="J56" s="154">
        <v>0</v>
      </c>
      <c r="K56" s="154">
        <v>0</v>
      </c>
      <c r="L56" s="154">
        <v>0</v>
      </c>
      <c r="M56" s="154">
        <v>0</v>
      </c>
      <c r="N56" s="154">
        <v>0</v>
      </c>
      <c r="O56" s="154">
        <v>0</v>
      </c>
      <c r="P56" s="154">
        <v>0</v>
      </c>
      <c r="Q56" s="154">
        <v>0</v>
      </c>
      <c r="R56" s="133"/>
      <c r="S56" s="133"/>
    </row>
    <row r="57" spans="1:19" ht="31.5" customHeight="1" thickBot="1" x14ac:dyDescent="0.25">
      <c r="A57" s="669" t="s">
        <v>192</v>
      </c>
      <c r="B57" s="670"/>
      <c r="C57" s="670"/>
      <c r="D57" s="670"/>
      <c r="E57" s="670"/>
      <c r="F57" s="670"/>
      <c r="G57" s="670"/>
      <c r="H57" s="670"/>
      <c r="I57" s="670"/>
      <c r="J57" s="670"/>
      <c r="K57" s="670"/>
      <c r="L57" s="670"/>
      <c r="M57" s="670"/>
      <c r="N57" s="670"/>
      <c r="O57" s="670"/>
      <c r="P57" s="670"/>
      <c r="Q57" s="670"/>
      <c r="R57" s="670"/>
      <c r="S57" s="671"/>
    </row>
    <row r="58" spans="1:19" ht="177" customHeight="1" thickBot="1" x14ac:dyDescent="0.25">
      <c r="A58" s="137" t="s">
        <v>193</v>
      </c>
      <c r="B58" s="133" t="s">
        <v>195</v>
      </c>
      <c r="C58" s="133" t="s">
        <v>15</v>
      </c>
      <c r="D58" s="133" t="s">
        <v>196</v>
      </c>
      <c r="E58" s="154" t="e">
        <f>(#REF!/#REF!)*100</f>
        <v>#REF!</v>
      </c>
      <c r="F58" s="154" t="e">
        <f>(#REF!/#REF!)*100</f>
        <v>#REF!</v>
      </c>
      <c r="G58" s="154" t="e">
        <f>(#REF!/#REF!)*100</f>
        <v>#REF!</v>
      </c>
      <c r="H58" s="154" t="e">
        <f>(#REF!/#REF!)*100</f>
        <v>#REF!</v>
      </c>
      <c r="I58" s="154" t="e">
        <f>(#REF!/#REF!)*100</f>
        <v>#REF!</v>
      </c>
      <c r="J58" s="154" t="e">
        <f>(#REF!/#REF!)*100</f>
        <v>#REF!</v>
      </c>
      <c r="K58" s="154" t="e">
        <f>(#REF!/#REF!)*100</f>
        <v>#REF!</v>
      </c>
      <c r="L58" s="154" t="e">
        <f>(#REF!/#REF!)*100</f>
        <v>#REF!</v>
      </c>
      <c r="M58" s="154" t="e">
        <f>(#REF!/#REF!)*100</f>
        <v>#REF!</v>
      </c>
      <c r="N58" s="154" t="e">
        <f>(#REF!/#REF!)*100</f>
        <v>#REF!</v>
      </c>
      <c r="O58" s="154" t="e">
        <f>(#REF!/#REF!)*100</f>
        <v>#REF!</v>
      </c>
      <c r="P58" s="154" t="e">
        <f>(#REF!/#REF!)*100</f>
        <v>#REF!</v>
      </c>
      <c r="Q58" s="154" t="e">
        <f>(#REF!/#REF!)*100</f>
        <v>#REF!</v>
      </c>
      <c r="R58" s="147"/>
      <c r="S58" s="133"/>
    </row>
    <row r="59" spans="1:19" ht="170.25" customHeight="1" thickBot="1" x14ac:dyDescent="0.25">
      <c r="A59" s="137" t="s">
        <v>197</v>
      </c>
      <c r="B59" s="133" t="s">
        <v>199</v>
      </c>
      <c r="C59" s="133" t="s">
        <v>15</v>
      </c>
      <c r="D59" s="133" t="s">
        <v>200</v>
      </c>
      <c r="E59" s="154" t="e">
        <f>(#REF!/#REF!)*100</f>
        <v>#REF!</v>
      </c>
      <c r="F59" s="154" t="e">
        <f>(#REF!/#REF!)*100</f>
        <v>#REF!</v>
      </c>
      <c r="G59" s="154" t="e">
        <f>(#REF!/#REF!)*100</f>
        <v>#REF!</v>
      </c>
      <c r="H59" s="154" t="e">
        <f>(#REF!/#REF!)*100</f>
        <v>#REF!</v>
      </c>
      <c r="I59" s="154" t="e">
        <f>(#REF!/#REF!)*100</f>
        <v>#REF!</v>
      </c>
      <c r="J59" s="154" t="e">
        <f>(#REF!/#REF!)*100</f>
        <v>#REF!</v>
      </c>
      <c r="K59" s="154" t="e">
        <f>(#REF!/#REF!)*100</f>
        <v>#REF!</v>
      </c>
      <c r="L59" s="154" t="e">
        <f>(#REF!/#REF!)*100</f>
        <v>#REF!</v>
      </c>
      <c r="M59" s="154" t="e">
        <f>(#REF!/#REF!)*100</f>
        <v>#REF!</v>
      </c>
      <c r="N59" s="154" t="e">
        <f>(#REF!/#REF!)*100</f>
        <v>#REF!</v>
      </c>
      <c r="O59" s="154" t="e">
        <f>(#REF!/#REF!)*100</f>
        <v>#REF!</v>
      </c>
      <c r="P59" s="154" t="e">
        <f>(#REF!/#REF!)*100</f>
        <v>#REF!</v>
      </c>
      <c r="Q59" s="154" t="e">
        <f>(#REF!/#REF!)*100</f>
        <v>#REF!</v>
      </c>
      <c r="R59" s="147"/>
      <c r="S59" s="133"/>
    </row>
    <row r="60" spans="1:19" ht="189.75" customHeight="1" thickBot="1" x14ac:dyDescent="0.25">
      <c r="A60" s="137" t="s">
        <v>201</v>
      </c>
      <c r="B60" s="133" t="s">
        <v>202</v>
      </c>
      <c r="C60" s="133" t="s">
        <v>15</v>
      </c>
      <c r="D60" s="133" t="s">
        <v>203</v>
      </c>
      <c r="E60" s="154" t="e">
        <f>(#REF!/#REF!)*100</f>
        <v>#REF!</v>
      </c>
      <c r="F60" s="154" t="e">
        <f>(#REF!/#REF!)*100</f>
        <v>#REF!</v>
      </c>
      <c r="G60" s="154" t="e">
        <f>(#REF!/#REF!)*100</f>
        <v>#REF!</v>
      </c>
      <c r="H60" s="154" t="e">
        <f>(#REF!/#REF!)*100</f>
        <v>#REF!</v>
      </c>
      <c r="I60" s="154" t="e">
        <f>(#REF!/#REF!)*100</f>
        <v>#REF!</v>
      </c>
      <c r="J60" s="154" t="e">
        <f>(#REF!/#REF!)*100</f>
        <v>#REF!</v>
      </c>
      <c r="K60" s="154" t="e">
        <f>(#REF!/#REF!)*100</f>
        <v>#REF!</v>
      </c>
      <c r="L60" s="154" t="e">
        <f>(#REF!/#REF!)*100</f>
        <v>#REF!</v>
      </c>
      <c r="M60" s="154" t="e">
        <f>(#REF!/#REF!)*100</f>
        <v>#REF!</v>
      </c>
      <c r="N60" s="154" t="e">
        <f>(#REF!/#REF!)*100</f>
        <v>#REF!</v>
      </c>
      <c r="O60" s="154" t="e">
        <f>(#REF!/#REF!)*100</f>
        <v>#REF!</v>
      </c>
      <c r="P60" s="154" t="e">
        <f>(#REF!/#REF!)*100</f>
        <v>#REF!</v>
      </c>
      <c r="Q60" s="154" t="e">
        <f>(#REF!/#REF!)*100</f>
        <v>#REF!</v>
      </c>
      <c r="R60" s="147"/>
      <c r="S60" s="133"/>
    </row>
    <row r="61" spans="1:19" ht="157.5" customHeight="1" thickBot="1" x14ac:dyDescent="0.25">
      <c r="A61" s="137" t="s">
        <v>204</v>
      </c>
      <c r="B61" s="133" t="s">
        <v>205</v>
      </c>
      <c r="C61" s="133" t="s">
        <v>15</v>
      </c>
      <c r="D61" s="133" t="s">
        <v>206</v>
      </c>
      <c r="E61" s="154">
        <v>0</v>
      </c>
      <c r="F61" s="154">
        <v>0</v>
      </c>
      <c r="G61" s="154">
        <v>0</v>
      </c>
      <c r="H61" s="154">
        <v>0</v>
      </c>
      <c r="I61" s="154">
        <v>0</v>
      </c>
      <c r="J61" s="154">
        <v>0</v>
      </c>
      <c r="K61" s="154">
        <v>0</v>
      </c>
      <c r="L61" s="154">
        <v>0</v>
      </c>
      <c r="M61" s="154">
        <v>0</v>
      </c>
      <c r="N61" s="154">
        <v>0</v>
      </c>
      <c r="O61" s="154">
        <v>0</v>
      </c>
      <c r="P61" s="154">
        <v>0</v>
      </c>
      <c r="Q61" s="154">
        <v>0</v>
      </c>
      <c r="R61" s="147"/>
      <c r="S61" s="133"/>
    </row>
    <row r="62" spans="1:19" ht="160.5" customHeight="1" thickBot="1" x14ac:dyDescent="0.25">
      <c r="A62" s="137" t="s">
        <v>207</v>
      </c>
      <c r="B62" s="133" t="s">
        <v>208</v>
      </c>
      <c r="C62" s="133" t="s">
        <v>15</v>
      </c>
      <c r="D62" s="133" t="s">
        <v>209</v>
      </c>
      <c r="E62" s="154" t="e">
        <f>(#REF!/#REF!)*100</f>
        <v>#REF!</v>
      </c>
      <c r="F62" s="154" t="e">
        <f>(#REF!/#REF!)*100</f>
        <v>#REF!</v>
      </c>
      <c r="G62" s="154" t="e">
        <f>(#REF!/#REF!)*100</f>
        <v>#REF!</v>
      </c>
      <c r="H62" s="154" t="e">
        <f>(#REF!/#REF!)*100</f>
        <v>#REF!</v>
      </c>
      <c r="I62" s="154" t="e">
        <f>(#REF!/#REF!)*100</f>
        <v>#REF!</v>
      </c>
      <c r="J62" s="154" t="e">
        <f>(#REF!/#REF!)*100</f>
        <v>#REF!</v>
      </c>
      <c r="K62" s="154" t="e">
        <f>(#REF!/#REF!)*100</f>
        <v>#REF!</v>
      </c>
      <c r="L62" s="154" t="e">
        <f>(#REF!/#REF!)*100</f>
        <v>#REF!</v>
      </c>
      <c r="M62" s="154" t="e">
        <f>(#REF!/#REF!)*100</f>
        <v>#REF!</v>
      </c>
      <c r="N62" s="154" t="e">
        <f>(#REF!/#REF!)*100</f>
        <v>#REF!</v>
      </c>
      <c r="O62" s="154" t="e">
        <f>(#REF!/#REF!)*100</f>
        <v>#REF!</v>
      </c>
      <c r="P62" s="154" t="e">
        <f>(#REF!/#REF!)*100</f>
        <v>#REF!</v>
      </c>
      <c r="Q62" s="154" t="e">
        <f>(#REF!/#REF!)*100</f>
        <v>#REF!</v>
      </c>
      <c r="R62" s="147"/>
      <c r="S62" s="133"/>
    </row>
    <row r="63" spans="1:19" ht="192.75" customHeight="1" thickBot="1" x14ac:dyDescent="0.25">
      <c r="A63" s="137" t="s">
        <v>210</v>
      </c>
      <c r="B63" s="133" t="s">
        <v>211</v>
      </c>
      <c r="C63" s="133" t="s">
        <v>15</v>
      </c>
      <c r="D63" s="133" t="s">
        <v>212</v>
      </c>
      <c r="E63" s="154" t="e">
        <f>(#REF!/#REF!)*100</f>
        <v>#REF!</v>
      </c>
      <c r="F63" s="154" t="e">
        <f>(#REF!/#REF!)*100</f>
        <v>#REF!</v>
      </c>
      <c r="G63" s="154" t="e">
        <f>(#REF!/#REF!)*100</f>
        <v>#REF!</v>
      </c>
      <c r="H63" s="154" t="e">
        <f>(#REF!/#REF!)*100</f>
        <v>#REF!</v>
      </c>
      <c r="I63" s="154" t="e">
        <f>(#REF!/#REF!)*100</f>
        <v>#REF!</v>
      </c>
      <c r="J63" s="154" t="e">
        <f>(#REF!/#REF!)*100</f>
        <v>#REF!</v>
      </c>
      <c r="K63" s="154" t="e">
        <f>(#REF!/#REF!)*100</f>
        <v>#REF!</v>
      </c>
      <c r="L63" s="154" t="e">
        <f>(#REF!/#REF!)*100</f>
        <v>#REF!</v>
      </c>
      <c r="M63" s="154" t="e">
        <f>(#REF!/#REF!)*100</f>
        <v>#REF!</v>
      </c>
      <c r="N63" s="154" t="e">
        <f>(#REF!/#REF!)*100</f>
        <v>#REF!</v>
      </c>
      <c r="O63" s="154" t="e">
        <f>(#REF!/#REF!)*100</f>
        <v>#REF!</v>
      </c>
      <c r="P63" s="154" t="e">
        <f>(#REF!/#REF!)*100</f>
        <v>#REF!</v>
      </c>
      <c r="Q63" s="154" t="e">
        <f>(#REF!/#REF!)*100</f>
        <v>#REF!</v>
      </c>
      <c r="R63" s="147"/>
      <c r="S63" s="133"/>
    </row>
    <row r="64" spans="1:19" ht="191.25" customHeight="1" thickBot="1" x14ac:dyDescent="0.25">
      <c r="A64" s="137" t="s">
        <v>213</v>
      </c>
      <c r="B64" s="133" t="s">
        <v>214</v>
      </c>
      <c r="C64" s="133" t="s">
        <v>15</v>
      </c>
      <c r="D64" s="133" t="s">
        <v>215</v>
      </c>
      <c r="E64" s="154" t="e">
        <f>(#REF!/#REF!)*100</f>
        <v>#REF!</v>
      </c>
      <c r="F64" s="154" t="e">
        <f>(#REF!/#REF!)*100</f>
        <v>#REF!</v>
      </c>
      <c r="G64" s="154" t="e">
        <f>(#REF!/#REF!)*100</f>
        <v>#REF!</v>
      </c>
      <c r="H64" s="154" t="e">
        <f>(#REF!/#REF!)*100</f>
        <v>#REF!</v>
      </c>
      <c r="I64" s="154" t="e">
        <f>(#REF!/#REF!)*100</f>
        <v>#REF!</v>
      </c>
      <c r="J64" s="154" t="e">
        <f>(#REF!/#REF!)*100</f>
        <v>#REF!</v>
      </c>
      <c r="K64" s="154" t="e">
        <f>(#REF!/#REF!)*100</f>
        <v>#REF!</v>
      </c>
      <c r="L64" s="154" t="e">
        <f>(#REF!/#REF!)*100</f>
        <v>#REF!</v>
      </c>
      <c r="M64" s="154" t="e">
        <f>(#REF!/#REF!)*100</f>
        <v>#REF!</v>
      </c>
      <c r="N64" s="154" t="e">
        <f>(#REF!/#REF!)*100</f>
        <v>#REF!</v>
      </c>
      <c r="O64" s="154" t="e">
        <f>(#REF!/#REF!)*100</f>
        <v>#REF!</v>
      </c>
      <c r="P64" s="154" t="e">
        <f>(#REF!/#REF!)*100</f>
        <v>#REF!</v>
      </c>
      <c r="Q64" s="154" t="e">
        <f>(#REF!/#REF!)*100</f>
        <v>#REF!</v>
      </c>
      <c r="R64" s="147"/>
      <c r="S64" s="133"/>
    </row>
    <row r="65" spans="1:19" ht="213.75" customHeight="1" thickBot="1" x14ac:dyDescent="0.25">
      <c r="A65" s="137" t="s">
        <v>216</v>
      </c>
      <c r="B65" s="133" t="s">
        <v>217</v>
      </c>
      <c r="C65" s="133" t="s">
        <v>15</v>
      </c>
      <c r="D65" s="133" t="s">
        <v>218</v>
      </c>
      <c r="E65" s="154" t="e">
        <f>(#REF!/#REF!)*100</f>
        <v>#REF!</v>
      </c>
      <c r="F65" s="154" t="e">
        <f>(#REF!/#REF!)*100</f>
        <v>#REF!</v>
      </c>
      <c r="G65" s="154" t="e">
        <f>(#REF!/#REF!)*100</f>
        <v>#REF!</v>
      </c>
      <c r="H65" s="154" t="e">
        <f>(#REF!/#REF!)*100</f>
        <v>#REF!</v>
      </c>
      <c r="I65" s="154" t="e">
        <f>(#REF!/#REF!)*100</f>
        <v>#REF!</v>
      </c>
      <c r="J65" s="154" t="e">
        <f>(#REF!/#REF!)*100</f>
        <v>#REF!</v>
      </c>
      <c r="K65" s="154" t="e">
        <f>(#REF!/#REF!)*100</f>
        <v>#REF!</v>
      </c>
      <c r="L65" s="154" t="e">
        <f>(#REF!/#REF!)*100</f>
        <v>#REF!</v>
      </c>
      <c r="M65" s="154" t="e">
        <f>(#REF!/#REF!)*100</f>
        <v>#REF!</v>
      </c>
      <c r="N65" s="154" t="e">
        <f>(#REF!/#REF!)*100</f>
        <v>#REF!</v>
      </c>
      <c r="O65" s="154" t="e">
        <f>(#REF!/#REF!)*100</f>
        <v>#REF!</v>
      </c>
      <c r="P65" s="154" t="e">
        <f>(#REF!/#REF!)*100</f>
        <v>#REF!</v>
      </c>
      <c r="Q65" s="154" t="e">
        <f>(#REF!/#REF!)*100</f>
        <v>#REF!</v>
      </c>
      <c r="R65" s="147"/>
      <c r="S65" s="133"/>
    </row>
    <row r="66" spans="1:19" ht="226.5" customHeight="1" thickBot="1" x14ac:dyDescent="0.25">
      <c r="A66" s="137" t="s">
        <v>219</v>
      </c>
      <c r="B66" s="133" t="s">
        <v>220</v>
      </c>
      <c r="C66" s="133" t="s">
        <v>15</v>
      </c>
      <c r="D66" s="133" t="s">
        <v>221</v>
      </c>
      <c r="E66" s="154" t="e">
        <f>(#REF!/#REF!)*100</f>
        <v>#REF!</v>
      </c>
      <c r="F66" s="154" t="e">
        <f>(#REF!/#REF!)*100</f>
        <v>#REF!</v>
      </c>
      <c r="G66" s="154" t="e">
        <f>(#REF!/#REF!)*100</f>
        <v>#REF!</v>
      </c>
      <c r="H66" s="154" t="e">
        <f>(#REF!/#REF!)*100</f>
        <v>#REF!</v>
      </c>
      <c r="I66" s="154" t="e">
        <f>(#REF!/#REF!)*100</f>
        <v>#REF!</v>
      </c>
      <c r="J66" s="154" t="e">
        <f>(#REF!/#REF!)*100</f>
        <v>#REF!</v>
      </c>
      <c r="K66" s="153" t="e">
        <f>(#REF!/#REF!)*100</f>
        <v>#REF!</v>
      </c>
      <c r="L66" s="154" t="e">
        <f>(#REF!/#REF!)*100</f>
        <v>#REF!</v>
      </c>
      <c r="M66" s="154" t="e">
        <f>(#REF!/#REF!)*100</f>
        <v>#REF!</v>
      </c>
      <c r="N66" s="154" t="e">
        <f>(#REF!/#REF!)*100</f>
        <v>#REF!</v>
      </c>
      <c r="O66" s="154" t="e">
        <f>(#REF!/#REF!)*100</f>
        <v>#REF!</v>
      </c>
      <c r="P66" s="154" t="e">
        <f>(#REF!/#REF!)*100</f>
        <v>#REF!</v>
      </c>
      <c r="Q66" s="154" t="e">
        <f>(#REF!/#REF!)*100</f>
        <v>#REF!</v>
      </c>
      <c r="R66" s="147"/>
      <c r="S66" s="150"/>
    </row>
    <row r="67" spans="1:19" ht="236.25" customHeight="1" thickBot="1" x14ac:dyDescent="0.25">
      <c r="A67" s="137" t="s">
        <v>222</v>
      </c>
      <c r="B67" s="133" t="s">
        <v>226</v>
      </c>
      <c r="C67" s="133" t="s">
        <v>15</v>
      </c>
      <c r="D67" s="133" t="s">
        <v>227</v>
      </c>
      <c r="E67" s="154" t="e">
        <f>(#REF!/#REF!)*100</f>
        <v>#REF!</v>
      </c>
      <c r="F67" s="154" t="e">
        <f>(#REF!/#REF!)*100</f>
        <v>#REF!</v>
      </c>
      <c r="G67" s="154" t="e">
        <f>(#REF!/#REF!)*100</f>
        <v>#REF!</v>
      </c>
      <c r="H67" s="154" t="e">
        <f>(#REF!/#REF!)*100</f>
        <v>#REF!</v>
      </c>
      <c r="I67" s="154" t="e">
        <f>(#REF!/#REF!)*100</f>
        <v>#REF!</v>
      </c>
      <c r="J67" s="154" t="e">
        <f>(#REF!/#REF!)*100</f>
        <v>#REF!</v>
      </c>
      <c r="K67" s="154" t="e">
        <f>(#REF!/#REF!)*100</f>
        <v>#REF!</v>
      </c>
      <c r="L67" s="154" t="e">
        <f>(#REF!/#REF!)*100</f>
        <v>#REF!</v>
      </c>
      <c r="M67" s="154" t="e">
        <f>(#REF!/#REF!)*100</f>
        <v>#REF!</v>
      </c>
      <c r="N67" s="154" t="e">
        <f>(#REF!/#REF!)*100</f>
        <v>#REF!</v>
      </c>
      <c r="O67" s="154" t="e">
        <f>(#REF!/#REF!)*100</f>
        <v>#REF!</v>
      </c>
      <c r="P67" s="154" t="e">
        <f>(#REF!/#REF!)*100</f>
        <v>#REF!</v>
      </c>
      <c r="Q67" s="154" t="e">
        <f>(#REF!/#REF!)*100</f>
        <v>#REF!</v>
      </c>
      <c r="R67" s="147"/>
      <c r="S67" s="151"/>
    </row>
    <row r="68" spans="1:19" ht="51" customHeight="1" thickBot="1" x14ac:dyDescent="0.25">
      <c r="A68" s="198" t="s">
        <v>228</v>
      </c>
      <c r="B68" s="133" t="s">
        <v>229</v>
      </c>
      <c r="C68" s="133" t="s">
        <v>540</v>
      </c>
      <c r="D68" s="133" t="s">
        <v>230</v>
      </c>
      <c r="E68" s="184" t="e">
        <f>#REF!</f>
        <v>#REF!</v>
      </c>
      <c r="F68" s="184" t="e">
        <f>#REF!</f>
        <v>#REF!</v>
      </c>
      <c r="G68" s="184" t="e">
        <f>#REF!</f>
        <v>#REF!</v>
      </c>
      <c r="H68" s="184" t="e">
        <f>#REF!</f>
        <v>#REF!</v>
      </c>
      <c r="I68" s="184" t="e">
        <f>#REF!</f>
        <v>#REF!</v>
      </c>
      <c r="J68" s="184" t="e">
        <f>#REF!</f>
        <v>#REF!</v>
      </c>
      <c r="K68" s="184" t="e">
        <f>#REF!</f>
        <v>#REF!</v>
      </c>
      <c r="L68" s="184" t="e">
        <f>#REF!</f>
        <v>#REF!</v>
      </c>
      <c r="M68" s="184" t="e">
        <f>#REF!</f>
        <v>#REF!</v>
      </c>
      <c r="N68" s="184" t="e">
        <f>#REF!</f>
        <v>#REF!</v>
      </c>
      <c r="O68" s="184" t="e">
        <f>#REF!</f>
        <v>#REF!</v>
      </c>
      <c r="P68" s="184" t="e">
        <f>#REF!</f>
        <v>#REF!</v>
      </c>
      <c r="Q68" s="184" t="e">
        <f>#REF!</f>
        <v>#REF!</v>
      </c>
      <c r="R68" s="147"/>
      <c r="S68" s="133"/>
    </row>
    <row r="69" spans="1:19" ht="75" customHeight="1" thickBot="1" x14ac:dyDescent="0.25">
      <c r="A69" s="137" t="s">
        <v>231</v>
      </c>
      <c r="B69" s="133" t="s">
        <v>232</v>
      </c>
      <c r="C69" s="133" t="s">
        <v>15</v>
      </c>
      <c r="D69" s="133" t="s">
        <v>233</v>
      </c>
      <c r="E69" s="154" t="e">
        <f>(#REF!/#REF!)*100</f>
        <v>#REF!</v>
      </c>
      <c r="F69" s="154" t="e">
        <f>(#REF!/#REF!)*100</f>
        <v>#REF!</v>
      </c>
      <c r="G69" s="154" t="e">
        <f>(#REF!/#REF!)*100</f>
        <v>#REF!</v>
      </c>
      <c r="H69" s="154" t="e">
        <f>(#REF!/#REF!)*100</f>
        <v>#REF!</v>
      </c>
      <c r="I69" s="154" t="e">
        <f>(#REF!/#REF!)*100</f>
        <v>#REF!</v>
      </c>
      <c r="J69" s="154" t="e">
        <f>(#REF!/#REF!)*100</f>
        <v>#REF!</v>
      </c>
      <c r="K69" s="154" t="e">
        <f>(#REF!/#REF!)*100</f>
        <v>#REF!</v>
      </c>
      <c r="L69" s="154" t="e">
        <f>(#REF!/#REF!)*100</f>
        <v>#REF!</v>
      </c>
      <c r="M69" s="154" t="e">
        <f>(#REF!/#REF!)*100</f>
        <v>#REF!</v>
      </c>
      <c r="N69" s="154" t="e">
        <f>(#REF!/#REF!)*100</f>
        <v>#REF!</v>
      </c>
      <c r="O69" s="154" t="e">
        <f>(#REF!/#REF!)*100</f>
        <v>#REF!</v>
      </c>
      <c r="P69" s="154" t="e">
        <f>(#REF!/#REF!)*100</f>
        <v>#REF!</v>
      </c>
      <c r="Q69" s="154" t="e">
        <f>(#REF!/#REF!)*100</f>
        <v>#REF!</v>
      </c>
      <c r="R69" s="133"/>
      <c r="S69" s="133"/>
    </row>
    <row r="70" spans="1:19" ht="172.5" customHeight="1" thickBot="1" x14ac:dyDescent="0.25">
      <c r="A70" s="137" t="s">
        <v>234</v>
      </c>
      <c r="B70" s="133" t="s">
        <v>236</v>
      </c>
      <c r="C70" s="133" t="s">
        <v>94</v>
      </c>
      <c r="D70" s="133" t="s">
        <v>237</v>
      </c>
      <c r="E70" s="194" t="e">
        <f>(#REF!+#REF!)/#REF!</f>
        <v>#REF!</v>
      </c>
      <c r="F70" s="194" t="e">
        <f>(#REF!+#REF!)/#REF!</f>
        <v>#REF!</v>
      </c>
      <c r="G70" s="194" t="e">
        <f>(#REF!+#REF!)/#REF!</f>
        <v>#REF!</v>
      </c>
      <c r="H70" s="194" t="e">
        <f>(#REF!+#REF!)/#REF!</f>
        <v>#REF!</v>
      </c>
      <c r="I70" s="194" t="e">
        <f>(#REF!+#REF!)/#REF!</f>
        <v>#REF!</v>
      </c>
      <c r="J70" s="149" t="e">
        <f>(#REF!+#REF!)/#REF!</f>
        <v>#REF!</v>
      </c>
      <c r="K70" s="149" t="e">
        <f>(#REF!+#REF!)/#REF!</f>
        <v>#REF!</v>
      </c>
      <c r="L70" s="149" t="e">
        <f>(#REF!+#REF!)/#REF!</f>
        <v>#REF!</v>
      </c>
      <c r="M70" s="149" t="e">
        <f>(#REF!+#REF!)/#REF!</f>
        <v>#REF!</v>
      </c>
      <c r="N70" s="149" t="e">
        <f>(#REF!+#REF!)/#REF!</f>
        <v>#REF!</v>
      </c>
      <c r="O70" s="149" t="e">
        <f>(#REF!+#REF!)/#REF!</f>
        <v>#REF!</v>
      </c>
      <c r="P70" s="149" t="e">
        <f>(#REF!+#REF!)/#REF!</f>
        <v>#REF!</v>
      </c>
      <c r="Q70" s="149" t="e">
        <f>(#REF!+#REF!)/#REF!</f>
        <v>#REF!</v>
      </c>
      <c r="R70" s="133"/>
      <c r="S70" s="133"/>
    </row>
    <row r="71" spans="1:19" ht="129" customHeight="1" thickBot="1" x14ac:dyDescent="0.25">
      <c r="A71" s="137" t="s">
        <v>238</v>
      </c>
      <c r="B71" s="143" t="s">
        <v>239</v>
      </c>
      <c r="C71" s="133" t="s">
        <v>94</v>
      </c>
      <c r="D71" s="143" t="s">
        <v>240</v>
      </c>
      <c r="E71" s="194" t="e">
        <f>((#REF!-#REF!)+(#REF!-#REF!))/#REF!</f>
        <v>#REF!</v>
      </c>
      <c r="F71" s="194" t="e">
        <f>((#REF!-#REF!)+(#REF!-#REF!))/#REF!</f>
        <v>#REF!</v>
      </c>
      <c r="G71" s="194" t="e">
        <f>((#REF!-#REF!)+(#REF!-#REF!))/#REF!</f>
        <v>#REF!</v>
      </c>
      <c r="H71" s="194" t="e">
        <f>((#REF!-#REF!)+(#REF!-#REF!))/#REF!</f>
        <v>#REF!</v>
      </c>
      <c r="I71" s="194" t="e">
        <f>((#REF!-#REF!)+(#REF!-#REF!))/#REF!</f>
        <v>#REF!</v>
      </c>
      <c r="J71" s="149" t="e">
        <f>((#REF!-#REF!)+(#REF!-#REF!))/#REF!</f>
        <v>#REF!</v>
      </c>
      <c r="K71" s="149" t="e">
        <f>((#REF!-#REF!)+(#REF!-#REF!))/#REF!</f>
        <v>#REF!</v>
      </c>
      <c r="L71" s="149" t="e">
        <f>((#REF!-#REF!)+(#REF!-#REF!))/#REF!</f>
        <v>#REF!</v>
      </c>
      <c r="M71" s="149">
        <v>0</v>
      </c>
      <c r="N71" s="149">
        <v>0</v>
      </c>
      <c r="O71" s="149">
        <v>0</v>
      </c>
      <c r="P71" s="149">
        <v>0</v>
      </c>
      <c r="Q71" s="149">
        <v>0</v>
      </c>
      <c r="R71" s="133"/>
      <c r="S71" s="133"/>
    </row>
    <row r="72" spans="1:19" ht="164.25" customHeight="1" thickBot="1" x14ac:dyDescent="0.25">
      <c r="A72" s="137" t="s">
        <v>241</v>
      </c>
      <c r="B72" s="133" t="s">
        <v>242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 t="s">
        <v>157</v>
      </c>
    </row>
    <row r="73" spans="1:19" ht="75.75" thickBot="1" x14ac:dyDescent="0.25">
      <c r="A73" s="137" t="s">
        <v>243</v>
      </c>
      <c r="B73" s="133" t="s">
        <v>152</v>
      </c>
      <c r="C73" s="133" t="s">
        <v>94</v>
      </c>
      <c r="D73" s="133" t="s">
        <v>244</v>
      </c>
      <c r="E73" s="148" t="e">
        <f>F70-E70</f>
        <v>#REF!</v>
      </c>
      <c r="F73" s="148" t="e">
        <f>G70-F70</f>
        <v>#REF!</v>
      </c>
      <c r="G73" s="148" t="e">
        <f>H70-G70</f>
        <v>#REF!</v>
      </c>
      <c r="H73" s="199" t="e">
        <f t="shared" ref="H73:P73" si="12">I70-H70</f>
        <v>#REF!</v>
      </c>
      <c r="I73" s="149" t="e">
        <f t="shared" si="12"/>
        <v>#REF!</v>
      </c>
      <c r="J73" s="149" t="e">
        <f t="shared" si="12"/>
        <v>#REF!</v>
      </c>
      <c r="K73" s="149" t="e">
        <f t="shared" si="12"/>
        <v>#REF!</v>
      </c>
      <c r="L73" s="149" t="e">
        <f t="shared" si="12"/>
        <v>#REF!</v>
      </c>
      <c r="M73" s="148" t="e">
        <f t="shared" si="12"/>
        <v>#REF!</v>
      </c>
      <c r="N73" s="148" t="e">
        <f t="shared" si="12"/>
        <v>#REF!</v>
      </c>
      <c r="O73" s="148" t="e">
        <f t="shared" si="12"/>
        <v>#REF!</v>
      </c>
      <c r="P73" s="148" t="e">
        <f t="shared" si="12"/>
        <v>#REF!</v>
      </c>
      <c r="Q73" s="148">
        <v>0</v>
      </c>
      <c r="R73" s="133"/>
      <c r="S73" s="133" t="s">
        <v>157</v>
      </c>
    </row>
    <row r="74" spans="1:19" ht="30.75" thickBot="1" x14ac:dyDescent="0.25">
      <c r="A74" s="137" t="s">
        <v>245</v>
      </c>
      <c r="B74" s="133" t="s">
        <v>159</v>
      </c>
      <c r="C74" s="133" t="s">
        <v>94</v>
      </c>
      <c r="D74" s="133" t="s">
        <v>246</v>
      </c>
      <c r="E74" s="148">
        <v>0</v>
      </c>
      <c r="F74" s="148">
        <v>0</v>
      </c>
      <c r="G74" s="148" t="e">
        <f>G70-$G$70</f>
        <v>#REF!</v>
      </c>
      <c r="H74" s="149" t="e">
        <f t="shared" ref="H74:Q74" si="13">H70-$G$70</f>
        <v>#REF!</v>
      </c>
      <c r="I74" s="149" t="e">
        <f t="shared" si="13"/>
        <v>#REF!</v>
      </c>
      <c r="J74" s="149" t="e">
        <f t="shared" si="13"/>
        <v>#REF!</v>
      </c>
      <c r="K74" s="149" t="e">
        <f t="shared" si="13"/>
        <v>#REF!</v>
      </c>
      <c r="L74" s="149" t="e">
        <f t="shared" si="13"/>
        <v>#REF!</v>
      </c>
      <c r="M74" s="149" t="e">
        <f t="shared" si="13"/>
        <v>#REF!</v>
      </c>
      <c r="N74" s="149" t="e">
        <f t="shared" si="13"/>
        <v>#REF!</v>
      </c>
      <c r="O74" s="149" t="e">
        <f t="shared" si="13"/>
        <v>#REF!</v>
      </c>
      <c r="P74" s="149" t="e">
        <f t="shared" si="13"/>
        <v>#REF!</v>
      </c>
      <c r="Q74" s="149" t="e">
        <f t="shared" si="13"/>
        <v>#REF!</v>
      </c>
      <c r="R74" s="133"/>
      <c r="S74" s="133"/>
    </row>
    <row r="75" spans="1:19" ht="127.5" customHeight="1" thickBot="1" x14ac:dyDescent="0.25">
      <c r="A75" s="137" t="s">
        <v>247</v>
      </c>
      <c r="B75" s="133" t="s">
        <v>248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 t="s">
        <v>157</v>
      </c>
    </row>
    <row r="76" spans="1:19" ht="75.75" thickBot="1" x14ac:dyDescent="0.25">
      <c r="A76" s="144" t="s">
        <v>249</v>
      </c>
      <c r="B76" s="133" t="s">
        <v>152</v>
      </c>
      <c r="C76" s="133" t="s">
        <v>94</v>
      </c>
      <c r="D76" s="133" t="s">
        <v>250</v>
      </c>
      <c r="E76" s="148" t="e">
        <f>F71-E71</f>
        <v>#REF!</v>
      </c>
      <c r="F76" s="148" t="e">
        <f t="shared" ref="F76:P76" si="14">G71-F71</f>
        <v>#REF!</v>
      </c>
      <c r="G76" s="149" t="e">
        <f t="shared" si="14"/>
        <v>#REF!</v>
      </c>
      <c r="H76" s="199" t="e">
        <f t="shared" si="14"/>
        <v>#REF!</v>
      </c>
      <c r="I76" s="149" t="e">
        <f t="shared" si="14"/>
        <v>#REF!</v>
      </c>
      <c r="J76" s="149" t="e">
        <f t="shared" si="14"/>
        <v>#REF!</v>
      </c>
      <c r="K76" s="149" t="e">
        <f t="shared" si="14"/>
        <v>#REF!</v>
      </c>
      <c r="L76" s="149" t="e">
        <f t="shared" si="14"/>
        <v>#REF!</v>
      </c>
      <c r="M76" s="148">
        <f t="shared" si="14"/>
        <v>0</v>
      </c>
      <c r="N76" s="148">
        <f t="shared" si="14"/>
        <v>0</v>
      </c>
      <c r="O76" s="148">
        <f t="shared" si="14"/>
        <v>0</v>
      </c>
      <c r="P76" s="148">
        <f t="shared" si="14"/>
        <v>0</v>
      </c>
      <c r="Q76" s="148">
        <v>0</v>
      </c>
      <c r="R76" s="133"/>
      <c r="S76" s="133" t="s">
        <v>157</v>
      </c>
    </row>
    <row r="77" spans="1:19" ht="46.5" customHeight="1" thickBot="1" x14ac:dyDescent="0.25">
      <c r="A77" s="137" t="s">
        <v>251</v>
      </c>
      <c r="B77" s="133" t="s">
        <v>159</v>
      </c>
      <c r="C77" s="133" t="s">
        <v>94</v>
      </c>
      <c r="D77" s="133" t="s">
        <v>252</v>
      </c>
      <c r="E77" s="141">
        <v>0</v>
      </c>
      <c r="F77" s="141">
        <v>0</v>
      </c>
      <c r="G77" s="133" t="e">
        <f>G71-$G$71</f>
        <v>#REF!</v>
      </c>
      <c r="H77" s="142" t="e">
        <f t="shared" ref="H77:Q77" si="15">H71-$G$71</f>
        <v>#REF!</v>
      </c>
      <c r="I77" s="142" t="e">
        <f t="shared" si="15"/>
        <v>#REF!</v>
      </c>
      <c r="J77" s="142" t="e">
        <f t="shared" si="15"/>
        <v>#REF!</v>
      </c>
      <c r="K77" s="142" t="e">
        <f t="shared" si="15"/>
        <v>#REF!</v>
      </c>
      <c r="L77" s="141" t="e">
        <f t="shared" si="15"/>
        <v>#REF!</v>
      </c>
      <c r="M77" s="141" t="e">
        <f t="shared" si="15"/>
        <v>#REF!</v>
      </c>
      <c r="N77" s="141" t="e">
        <f t="shared" si="15"/>
        <v>#REF!</v>
      </c>
      <c r="O77" s="141" t="e">
        <f t="shared" si="15"/>
        <v>#REF!</v>
      </c>
      <c r="P77" s="141" t="e">
        <f t="shared" si="15"/>
        <v>#REF!</v>
      </c>
      <c r="Q77" s="141" t="e">
        <f t="shared" si="15"/>
        <v>#REF!</v>
      </c>
      <c r="R77" s="133"/>
      <c r="S77" s="133"/>
    </row>
    <row r="78" spans="1:19" ht="193.5" customHeight="1" thickBot="1" x14ac:dyDescent="0.25">
      <c r="A78" s="137" t="s">
        <v>253</v>
      </c>
      <c r="B78" s="133" t="s">
        <v>257</v>
      </c>
      <c r="C78" s="133"/>
      <c r="D78" s="133"/>
      <c r="E78" s="133"/>
      <c r="F78" s="133"/>
      <c r="G78" s="133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33"/>
      <c r="S78" s="133"/>
    </row>
    <row r="79" spans="1:19" ht="30.75" thickBot="1" x14ac:dyDescent="0.25">
      <c r="A79" s="137" t="s">
        <v>258</v>
      </c>
      <c r="B79" s="133" t="s">
        <v>152</v>
      </c>
      <c r="C79" s="133" t="s">
        <v>105</v>
      </c>
      <c r="D79" s="133" t="s">
        <v>259</v>
      </c>
      <c r="E79" s="133">
        <v>0</v>
      </c>
      <c r="F79" s="133">
        <v>0</v>
      </c>
      <c r="G79" s="141" t="e">
        <f t="shared" ref="G79:P79" si="16">H71/H70-G71/G70</f>
        <v>#REF!</v>
      </c>
      <c r="H79" s="142" t="e">
        <f t="shared" si="16"/>
        <v>#REF!</v>
      </c>
      <c r="I79" s="142" t="e">
        <f t="shared" si="16"/>
        <v>#REF!</v>
      </c>
      <c r="J79" s="141" t="e">
        <f t="shared" si="16"/>
        <v>#REF!</v>
      </c>
      <c r="K79" s="141" t="e">
        <f t="shared" si="16"/>
        <v>#REF!</v>
      </c>
      <c r="L79" s="141" t="e">
        <f t="shared" si="16"/>
        <v>#REF!</v>
      </c>
      <c r="M79" s="141" t="e">
        <f t="shared" si="16"/>
        <v>#REF!</v>
      </c>
      <c r="N79" s="141" t="e">
        <f t="shared" si="16"/>
        <v>#REF!</v>
      </c>
      <c r="O79" s="141" t="e">
        <f t="shared" si="16"/>
        <v>#REF!</v>
      </c>
      <c r="P79" s="141" t="e">
        <f t="shared" si="16"/>
        <v>#REF!</v>
      </c>
      <c r="Q79" s="141">
        <v>0</v>
      </c>
      <c r="R79" s="133"/>
      <c r="S79" s="133"/>
    </row>
    <row r="80" spans="1:19" ht="30.75" thickBot="1" x14ac:dyDescent="0.25">
      <c r="A80" s="137" t="s">
        <v>260</v>
      </c>
      <c r="B80" s="133" t="s">
        <v>159</v>
      </c>
      <c r="C80" s="133" t="s">
        <v>105</v>
      </c>
      <c r="D80" s="133" t="s">
        <v>261</v>
      </c>
      <c r="E80" s="133">
        <v>0</v>
      </c>
      <c r="F80" s="133">
        <v>0</v>
      </c>
      <c r="G80" s="133" t="e">
        <f>G71/G70-$G$71/$G$70</f>
        <v>#REF!</v>
      </c>
      <c r="H80" s="141" t="e">
        <f t="shared" ref="H80:Q80" si="17">H71/H70-$G$71/$G$70</f>
        <v>#REF!</v>
      </c>
      <c r="I80" s="141" t="e">
        <f t="shared" si="17"/>
        <v>#REF!</v>
      </c>
      <c r="J80" s="141" t="e">
        <f t="shared" si="17"/>
        <v>#REF!</v>
      </c>
      <c r="K80" s="141" t="e">
        <f t="shared" si="17"/>
        <v>#REF!</v>
      </c>
      <c r="L80" s="141" t="e">
        <f t="shared" si="17"/>
        <v>#REF!</v>
      </c>
      <c r="M80" s="141" t="e">
        <f t="shared" si="17"/>
        <v>#REF!</v>
      </c>
      <c r="N80" s="141" t="e">
        <f t="shared" si="17"/>
        <v>#REF!</v>
      </c>
      <c r="O80" s="141" t="e">
        <f t="shared" si="17"/>
        <v>#REF!</v>
      </c>
      <c r="P80" s="141" t="e">
        <f t="shared" si="17"/>
        <v>#REF!</v>
      </c>
      <c r="Q80" s="141" t="e">
        <f t="shared" si="17"/>
        <v>#REF!</v>
      </c>
      <c r="R80" s="133"/>
      <c r="S80" s="133"/>
    </row>
    <row r="81" spans="1:20" ht="181.5" customHeight="1" thickBot="1" x14ac:dyDescent="0.25">
      <c r="A81" s="137" t="s">
        <v>262</v>
      </c>
      <c r="B81" s="143" t="s">
        <v>266</v>
      </c>
      <c r="C81" s="133" t="s">
        <v>267</v>
      </c>
      <c r="D81" s="133" t="s">
        <v>268</v>
      </c>
      <c r="E81" s="133">
        <v>0</v>
      </c>
      <c r="F81" s="133">
        <v>0</v>
      </c>
      <c r="G81" s="141" t="e">
        <f>(#REF!+#REF!)/#REF!</f>
        <v>#REF!</v>
      </c>
      <c r="H81" s="141" t="e">
        <f>(#REF!+#REF!)/#REF!</f>
        <v>#REF!</v>
      </c>
      <c r="I81" s="141" t="e">
        <f>(#REF!+#REF!)/#REF!</f>
        <v>#REF!</v>
      </c>
      <c r="J81" s="141" t="e">
        <f>(#REF!+#REF!)/#REF!</f>
        <v>#REF!</v>
      </c>
      <c r="K81" s="141" t="e">
        <f>(#REF!+#REF!)/#REF!</f>
        <v>#REF!</v>
      </c>
      <c r="L81" s="141" t="e">
        <f>(#REF!+#REF!)/#REF!</f>
        <v>#REF!</v>
      </c>
      <c r="M81" s="141" t="e">
        <f>(#REF!+#REF!)/#REF!</f>
        <v>#REF!</v>
      </c>
      <c r="N81" s="141" t="e">
        <f>(#REF!+#REF!)/#REF!</f>
        <v>#REF!</v>
      </c>
      <c r="O81" s="141" t="e">
        <f>(#REF!+#REF!)/#REF!</f>
        <v>#REF!</v>
      </c>
      <c r="P81" s="141" t="e">
        <f>(#REF!+#REF!)/#REF!</f>
        <v>#REF!</v>
      </c>
      <c r="Q81" s="141" t="e">
        <f>(#REF!+#REF!)/#REF!</f>
        <v>#REF!</v>
      </c>
      <c r="R81" s="133"/>
      <c r="T81" s="133" t="e">
        <f>P81*1000/365*70</f>
        <v>#REF!</v>
      </c>
    </row>
    <row r="82" spans="1:20" ht="146.25" customHeight="1" thickBot="1" x14ac:dyDescent="0.25">
      <c r="A82" s="137" t="s">
        <v>269</v>
      </c>
      <c r="B82" s="143" t="s">
        <v>284</v>
      </c>
      <c r="C82" s="133" t="s">
        <v>267</v>
      </c>
      <c r="D82" s="193" t="s">
        <v>270</v>
      </c>
      <c r="E82" s="141" t="e">
        <f>((#REF!-#REF!)+(#REF!-#REF!))/#REF!</f>
        <v>#REF!</v>
      </c>
      <c r="F82" s="141" t="e">
        <f>((#REF!-#REF!)+(#REF!-#REF!))/#REF!</f>
        <v>#REF!</v>
      </c>
      <c r="G82" s="141" t="e">
        <f>((#REF!-#REF!)+(#REF!-#REF!))/#REF!</f>
        <v>#REF!</v>
      </c>
      <c r="H82" s="141" t="e">
        <f>((#REF!-#REF!)+(#REF!-#REF!))/#REF!</f>
        <v>#REF!</v>
      </c>
      <c r="I82" s="141" t="e">
        <f>((#REF!-#REF!)+(#REF!-#REF!))/#REF!</f>
        <v>#REF!</v>
      </c>
      <c r="J82" s="141" t="e">
        <f>((#REF!-#REF!)+(#REF!-#REF!))/#REF!</f>
        <v>#REF!</v>
      </c>
      <c r="K82" s="141" t="e">
        <f>((#REF!-#REF!)+(#REF!-#REF!))/#REF!</f>
        <v>#REF!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1">
        <v>0</v>
      </c>
      <c r="R82" s="133"/>
      <c r="S82" s="133"/>
    </row>
    <row r="83" spans="1:20" ht="209.25" customHeight="1" thickBot="1" x14ac:dyDescent="0.25">
      <c r="A83" s="137" t="s">
        <v>271</v>
      </c>
      <c r="B83" s="133" t="s">
        <v>272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</row>
    <row r="84" spans="1:20" ht="76.5" customHeight="1" thickBot="1" x14ac:dyDescent="0.25">
      <c r="A84" s="137" t="s">
        <v>273</v>
      </c>
      <c r="B84" s="133" t="s">
        <v>152</v>
      </c>
      <c r="C84" s="133" t="s">
        <v>267</v>
      </c>
      <c r="D84" s="133" t="s">
        <v>274</v>
      </c>
      <c r="E84" s="141">
        <v>0</v>
      </c>
      <c r="F84" s="141">
        <v>0</v>
      </c>
      <c r="G84" s="141" t="e">
        <f t="shared" ref="G84:P84" si="18">H81-G81</f>
        <v>#REF!</v>
      </c>
      <c r="H84" s="141" t="e">
        <f t="shared" si="18"/>
        <v>#REF!</v>
      </c>
      <c r="I84" s="141" t="e">
        <f t="shared" si="18"/>
        <v>#REF!</v>
      </c>
      <c r="J84" s="141" t="e">
        <f t="shared" si="18"/>
        <v>#REF!</v>
      </c>
      <c r="K84" s="141" t="e">
        <f t="shared" si="18"/>
        <v>#REF!</v>
      </c>
      <c r="L84" s="141" t="e">
        <f t="shared" si="18"/>
        <v>#REF!</v>
      </c>
      <c r="M84" s="141" t="e">
        <f t="shared" si="18"/>
        <v>#REF!</v>
      </c>
      <c r="N84" s="141" t="e">
        <f t="shared" si="18"/>
        <v>#REF!</v>
      </c>
      <c r="O84" s="141" t="e">
        <f t="shared" si="18"/>
        <v>#REF!</v>
      </c>
      <c r="P84" s="141" t="e">
        <f t="shared" si="18"/>
        <v>#REF!</v>
      </c>
      <c r="Q84" s="141">
        <v>0</v>
      </c>
      <c r="R84" s="133"/>
      <c r="S84" s="133" t="s">
        <v>157</v>
      </c>
    </row>
    <row r="85" spans="1:20" ht="30.75" thickBot="1" x14ac:dyDescent="0.25">
      <c r="A85" s="137" t="s">
        <v>275</v>
      </c>
      <c r="B85" s="133" t="s">
        <v>159</v>
      </c>
      <c r="C85" s="133" t="s">
        <v>267</v>
      </c>
      <c r="D85" s="133" t="s">
        <v>276</v>
      </c>
      <c r="E85" s="141">
        <v>0</v>
      </c>
      <c r="F85" s="141">
        <v>0</v>
      </c>
      <c r="G85" s="141" t="e">
        <f t="shared" ref="G85:Q85" si="19">G81-$G$81</f>
        <v>#REF!</v>
      </c>
      <c r="H85" s="141" t="e">
        <f t="shared" si="19"/>
        <v>#REF!</v>
      </c>
      <c r="I85" s="141" t="e">
        <f t="shared" si="19"/>
        <v>#REF!</v>
      </c>
      <c r="J85" s="141" t="e">
        <f t="shared" si="19"/>
        <v>#REF!</v>
      </c>
      <c r="K85" s="141" t="e">
        <f t="shared" si="19"/>
        <v>#REF!</v>
      </c>
      <c r="L85" s="141" t="e">
        <f t="shared" si="19"/>
        <v>#REF!</v>
      </c>
      <c r="M85" s="141" t="e">
        <f t="shared" si="19"/>
        <v>#REF!</v>
      </c>
      <c r="N85" s="141" t="e">
        <f t="shared" si="19"/>
        <v>#REF!</v>
      </c>
      <c r="O85" s="141" t="e">
        <f t="shared" si="19"/>
        <v>#REF!</v>
      </c>
      <c r="P85" s="141" t="e">
        <f t="shared" si="19"/>
        <v>#REF!</v>
      </c>
      <c r="Q85" s="141" t="e">
        <f t="shared" si="19"/>
        <v>#REF!</v>
      </c>
      <c r="R85" s="133"/>
      <c r="S85" s="133"/>
    </row>
    <row r="86" spans="1:20" ht="165.75" customHeight="1" thickBot="1" x14ac:dyDescent="0.25">
      <c r="A86" s="137" t="s">
        <v>277</v>
      </c>
      <c r="B86" s="133" t="s">
        <v>278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</row>
    <row r="87" spans="1:20" ht="86.25" customHeight="1" thickBot="1" x14ac:dyDescent="0.25">
      <c r="A87" s="137" t="s">
        <v>279</v>
      </c>
      <c r="B87" s="133" t="s">
        <v>152</v>
      </c>
      <c r="C87" s="133" t="s">
        <v>267</v>
      </c>
      <c r="D87" s="133" t="s">
        <v>280</v>
      </c>
      <c r="E87" s="142" t="e">
        <f>F82-E82</f>
        <v>#REF!</v>
      </c>
      <c r="F87" s="142" t="e">
        <f t="shared" ref="F87:P87" si="20">G82-F82</f>
        <v>#REF!</v>
      </c>
      <c r="G87" s="142" t="e">
        <f t="shared" si="20"/>
        <v>#REF!</v>
      </c>
      <c r="H87" s="142" t="e">
        <f t="shared" si="20"/>
        <v>#REF!</v>
      </c>
      <c r="I87" s="142" t="e">
        <f t="shared" si="20"/>
        <v>#REF!</v>
      </c>
      <c r="J87" s="142" t="e">
        <f t="shared" si="20"/>
        <v>#REF!</v>
      </c>
      <c r="K87" s="142" t="e">
        <f t="shared" si="20"/>
        <v>#REF!</v>
      </c>
      <c r="L87" s="142">
        <f t="shared" si="20"/>
        <v>0</v>
      </c>
      <c r="M87" s="142">
        <f t="shared" si="20"/>
        <v>0</v>
      </c>
      <c r="N87" s="142">
        <f t="shared" si="20"/>
        <v>0</v>
      </c>
      <c r="O87" s="142">
        <f t="shared" si="20"/>
        <v>0</v>
      </c>
      <c r="P87" s="142">
        <f t="shared" si="20"/>
        <v>0</v>
      </c>
      <c r="Q87" s="142">
        <v>0</v>
      </c>
      <c r="R87" s="133"/>
      <c r="S87" s="133" t="s">
        <v>157</v>
      </c>
    </row>
    <row r="88" spans="1:20" ht="36.75" customHeight="1" thickBot="1" x14ac:dyDescent="0.25">
      <c r="A88" s="137" t="s">
        <v>281</v>
      </c>
      <c r="B88" s="133" t="s">
        <v>159</v>
      </c>
      <c r="C88" s="133" t="s">
        <v>267</v>
      </c>
      <c r="D88" s="133" t="s">
        <v>282</v>
      </c>
      <c r="E88" s="142">
        <v>0</v>
      </c>
      <c r="F88" s="142">
        <v>0</v>
      </c>
      <c r="G88" s="142" t="e">
        <f t="shared" ref="G88:Q88" si="21">G82-$G$82</f>
        <v>#REF!</v>
      </c>
      <c r="H88" s="142" t="e">
        <f t="shared" si="21"/>
        <v>#REF!</v>
      </c>
      <c r="I88" s="142" t="e">
        <f t="shared" si="21"/>
        <v>#REF!</v>
      </c>
      <c r="J88" s="142" t="e">
        <f t="shared" si="21"/>
        <v>#REF!</v>
      </c>
      <c r="K88" s="142" t="e">
        <f t="shared" si="21"/>
        <v>#REF!</v>
      </c>
      <c r="L88" s="142" t="e">
        <f t="shared" si="21"/>
        <v>#REF!</v>
      </c>
      <c r="M88" s="142" t="e">
        <f t="shared" si="21"/>
        <v>#REF!</v>
      </c>
      <c r="N88" s="142" t="e">
        <f t="shared" si="21"/>
        <v>#REF!</v>
      </c>
      <c r="O88" s="142" t="e">
        <f t="shared" si="21"/>
        <v>#REF!</v>
      </c>
      <c r="P88" s="142" t="e">
        <f t="shared" si="21"/>
        <v>#REF!</v>
      </c>
      <c r="Q88" s="142" t="e">
        <f t="shared" si="21"/>
        <v>#REF!</v>
      </c>
      <c r="R88" s="133"/>
      <c r="S88" s="133"/>
    </row>
    <row r="89" spans="1:20" ht="216.75" customHeight="1" thickBot="1" x14ac:dyDescent="0.25">
      <c r="A89" s="137" t="s">
        <v>283</v>
      </c>
      <c r="B89" s="133" t="s">
        <v>289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</row>
    <row r="90" spans="1:20" ht="30.75" thickBot="1" x14ac:dyDescent="0.25">
      <c r="A90" s="137" t="s">
        <v>290</v>
      </c>
      <c r="B90" s="133" t="s">
        <v>152</v>
      </c>
      <c r="C90" s="133" t="s">
        <v>105</v>
      </c>
      <c r="D90" s="133" t="s">
        <v>291</v>
      </c>
      <c r="E90" s="133">
        <v>0</v>
      </c>
      <c r="F90" s="141">
        <v>0</v>
      </c>
      <c r="G90" s="141" t="e">
        <f>H82/H81-G82/G81</f>
        <v>#REF!</v>
      </c>
      <c r="H90" s="141" t="e">
        <f t="shared" ref="H90:P90" si="22">I82/I81-H82/H81</f>
        <v>#REF!</v>
      </c>
      <c r="I90" s="141" t="e">
        <f t="shared" si="22"/>
        <v>#REF!</v>
      </c>
      <c r="J90" s="141" t="e">
        <f t="shared" si="22"/>
        <v>#REF!</v>
      </c>
      <c r="K90" s="141" t="e">
        <f t="shared" si="22"/>
        <v>#REF!</v>
      </c>
      <c r="L90" s="141" t="e">
        <f t="shared" si="22"/>
        <v>#REF!</v>
      </c>
      <c r="M90" s="141" t="e">
        <f t="shared" si="22"/>
        <v>#REF!</v>
      </c>
      <c r="N90" s="141" t="e">
        <f t="shared" si="22"/>
        <v>#REF!</v>
      </c>
      <c r="O90" s="141" t="e">
        <f t="shared" si="22"/>
        <v>#REF!</v>
      </c>
      <c r="P90" s="141" t="e">
        <f t="shared" si="22"/>
        <v>#REF!</v>
      </c>
      <c r="Q90" s="141">
        <v>0</v>
      </c>
      <c r="R90" s="133"/>
      <c r="S90" s="133"/>
    </row>
    <row r="91" spans="1:20" ht="30.75" thickBot="1" x14ac:dyDescent="0.25">
      <c r="A91" s="137" t="s">
        <v>292</v>
      </c>
      <c r="B91" s="133" t="s">
        <v>159</v>
      </c>
      <c r="C91" s="133" t="s">
        <v>105</v>
      </c>
      <c r="D91" s="133" t="s">
        <v>293</v>
      </c>
      <c r="E91" s="133">
        <v>0</v>
      </c>
      <c r="F91" s="141">
        <v>0</v>
      </c>
      <c r="G91" s="141" t="e">
        <f>G82/G81-$G$82/$G$81</f>
        <v>#REF!</v>
      </c>
      <c r="H91" s="141" t="e">
        <f t="shared" ref="H91:Q91" si="23">H82/H81-$G$82/$G$81</f>
        <v>#REF!</v>
      </c>
      <c r="I91" s="141" t="e">
        <f t="shared" si="23"/>
        <v>#REF!</v>
      </c>
      <c r="J91" s="141" t="e">
        <f t="shared" si="23"/>
        <v>#REF!</v>
      </c>
      <c r="K91" s="141" t="e">
        <f t="shared" si="23"/>
        <v>#REF!</v>
      </c>
      <c r="L91" s="141" t="e">
        <f t="shared" si="23"/>
        <v>#REF!</v>
      </c>
      <c r="M91" s="141" t="e">
        <f t="shared" si="23"/>
        <v>#REF!</v>
      </c>
      <c r="N91" s="141" t="e">
        <f t="shared" si="23"/>
        <v>#REF!</v>
      </c>
      <c r="O91" s="141" t="e">
        <f t="shared" si="23"/>
        <v>#REF!</v>
      </c>
      <c r="P91" s="141" t="e">
        <f t="shared" si="23"/>
        <v>#REF!</v>
      </c>
      <c r="Q91" s="141" t="e">
        <f t="shared" si="23"/>
        <v>#REF!</v>
      </c>
      <c r="R91" s="133"/>
      <c r="S91" s="133"/>
    </row>
    <row r="92" spans="1:20" ht="177.75" customHeight="1" thickBot="1" x14ac:dyDescent="0.25">
      <c r="A92" s="137" t="s">
        <v>294</v>
      </c>
      <c r="B92" s="133" t="s">
        <v>295</v>
      </c>
      <c r="C92" s="133" t="s">
        <v>296</v>
      </c>
      <c r="D92" s="133" t="s">
        <v>297</v>
      </c>
      <c r="E92" s="183" t="e">
        <f>(#REF!+#REF!)/#REF!</f>
        <v>#REF!</v>
      </c>
      <c r="F92" s="183" t="e">
        <f>(#REF!+#REF!)/#REF!</f>
        <v>#REF!</v>
      </c>
      <c r="G92" s="183" t="e">
        <f>(#REF!+#REF!)/#REF!</f>
        <v>#REF!</v>
      </c>
      <c r="H92" s="183" t="e">
        <f>(#REF!+#REF!)/#REF!</f>
        <v>#REF!</v>
      </c>
      <c r="I92" s="183" t="e">
        <f>(#REF!+#REF!)/#REF!</f>
        <v>#REF!</v>
      </c>
      <c r="J92" s="183" t="e">
        <f>(#REF!+#REF!)/#REF!</f>
        <v>#REF!</v>
      </c>
      <c r="K92" s="141" t="e">
        <f>(#REF!+#REF!)/#REF!</f>
        <v>#REF!</v>
      </c>
      <c r="L92" s="141" t="e">
        <f>(#REF!+#REF!)/#REF!</f>
        <v>#REF!</v>
      </c>
      <c r="M92" s="141" t="e">
        <f>(#REF!+#REF!)/#REF!</f>
        <v>#REF!</v>
      </c>
      <c r="N92" s="141" t="e">
        <f>(#REF!+#REF!)/#REF!</f>
        <v>#REF!</v>
      </c>
      <c r="O92" s="141" t="e">
        <f>(#REF!+#REF!)/#REF!</f>
        <v>#REF!</v>
      </c>
      <c r="P92" s="141" t="e">
        <f>(#REF!+#REF!)/#REF!</f>
        <v>#REF!</v>
      </c>
      <c r="Q92" s="141" t="e">
        <f>(#REF!+#REF!)/#REF!</f>
        <v>#REF!</v>
      </c>
      <c r="R92" s="133"/>
      <c r="S92" s="133"/>
    </row>
    <row r="93" spans="1:20" ht="135.75" customHeight="1" thickBot="1" x14ac:dyDescent="0.25">
      <c r="A93" s="137" t="s">
        <v>298</v>
      </c>
      <c r="B93" s="133" t="s">
        <v>299</v>
      </c>
      <c r="C93" s="133" t="s">
        <v>296</v>
      </c>
      <c r="D93" s="133" t="s">
        <v>300</v>
      </c>
      <c r="E93" s="133">
        <v>0</v>
      </c>
      <c r="F93" s="133">
        <v>0</v>
      </c>
      <c r="G93" s="133">
        <v>0</v>
      </c>
      <c r="H93" s="133">
        <v>0</v>
      </c>
      <c r="I93" s="133">
        <v>0</v>
      </c>
      <c r="J93" s="133">
        <v>0</v>
      </c>
      <c r="K93" s="133">
        <v>0</v>
      </c>
      <c r="L93" s="133">
        <v>0</v>
      </c>
      <c r="M93" s="133">
        <v>0</v>
      </c>
      <c r="N93" s="133">
        <v>0</v>
      </c>
      <c r="O93" s="133">
        <v>0</v>
      </c>
      <c r="P93" s="133">
        <v>0</v>
      </c>
      <c r="Q93" s="133">
        <v>0</v>
      </c>
      <c r="R93" s="133"/>
      <c r="S93" s="133"/>
    </row>
    <row r="94" spans="1:20" ht="210" customHeight="1" thickBot="1" x14ac:dyDescent="0.25">
      <c r="A94" s="137" t="s">
        <v>301</v>
      </c>
      <c r="B94" s="133" t="s">
        <v>302</v>
      </c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</row>
    <row r="95" spans="1:20" ht="48.75" customHeight="1" thickBot="1" x14ac:dyDescent="0.25">
      <c r="A95" s="137" t="s">
        <v>303</v>
      </c>
      <c r="B95" s="133" t="s">
        <v>152</v>
      </c>
      <c r="C95" s="133" t="s">
        <v>296</v>
      </c>
      <c r="D95" s="133" t="s">
        <v>304</v>
      </c>
      <c r="E95" s="141" t="e">
        <f>F92-E92</f>
        <v>#REF!</v>
      </c>
      <c r="F95" s="141" t="e">
        <f t="shared" ref="F95:P95" si="24">G92-F92</f>
        <v>#REF!</v>
      </c>
      <c r="G95" s="141" t="e">
        <f t="shared" si="24"/>
        <v>#REF!</v>
      </c>
      <c r="H95" s="142" t="e">
        <f t="shared" si="24"/>
        <v>#REF!</v>
      </c>
      <c r="I95" s="141" t="e">
        <f t="shared" si="24"/>
        <v>#REF!</v>
      </c>
      <c r="J95" s="141" t="e">
        <f t="shared" si="24"/>
        <v>#REF!</v>
      </c>
      <c r="K95" s="141" t="e">
        <f t="shared" si="24"/>
        <v>#REF!</v>
      </c>
      <c r="L95" s="141" t="e">
        <f t="shared" si="24"/>
        <v>#REF!</v>
      </c>
      <c r="M95" s="141" t="e">
        <f t="shared" si="24"/>
        <v>#REF!</v>
      </c>
      <c r="N95" s="141" t="e">
        <f t="shared" si="24"/>
        <v>#REF!</v>
      </c>
      <c r="O95" s="141" t="e">
        <f t="shared" si="24"/>
        <v>#REF!</v>
      </c>
      <c r="P95" s="141" t="e">
        <f t="shared" si="24"/>
        <v>#REF!</v>
      </c>
      <c r="Q95" s="141">
        <v>-0.22239030686898786</v>
      </c>
      <c r="R95" s="133"/>
      <c r="S95" s="133" t="s">
        <v>157</v>
      </c>
    </row>
    <row r="96" spans="1:20" ht="30.75" thickBot="1" x14ac:dyDescent="0.25">
      <c r="A96" s="137" t="s">
        <v>305</v>
      </c>
      <c r="B96" s="133" t="s">
        <v>159</v>
      </c>
      <c r="C96" s="133" t="s">
        <v>296</v>
      </c>
      <c r="D96" s="133" t="s">
        <v>306</v>
      </c>
      <c r="E96" s="140">
        <v>0</v>
      </c>
      <c r="F96" s="140">
        <v>0</v>
      </c>
      <c r="G96" s="140">
        <v>0</v>
      </c>
      <c r="H96" s="140" t="e">
        <f t="shared" ref="H96:Q96" si="25">H92-$G$92</f>
        <v>#REF!</v>
      </c>
      <c r="I96" s="140" t="e">
        <f t="shared" si="25"/>
        <v>#REF!</v>
      </c>
      <c r="J96" s="140" t="e">
        <f t="shared" si="25"/>
        <v>#REF!</v>
      </c>
      <c r="K96" s="140" t="e">
        <f t="shared" si="25"/>
        <v>#REF!</v>
      </c>
      <c r="L96" s="140" t="e">
        <f t="shared" si="25"/>
        <v>#REF!</v>
      </c>
      <c r="M96" s="140" t="e">
        <f t="shared" si="25"/>
        <v>#REF!</v>
      </c>
      <c r="N96" s="140" t="e">
        <f t="shared" si="25"/>
        <v>#REF!</v>
      </c>
      <c r="O96" s="140" t="e">
        <f t="shared" si="25"/>
        <v>#REF!</v>
      </c>
      <c r="P96" s="140" t="e">
        <f t="shared" si="25"/>
        <v>#REF!</v>
      </c>
      <c r="Q96" s="140" t="e">
        <f t="shared" si="25"/>
        <v>#REF!</v>
      </c>
      <c r="R96" s="133"/>
      <c r="S96" s="133"/>
    </row>
    <row r="97" spans="1:19" ht="144" customHeight="1" thickBot="1" x14ac:dyDescent="0.25">
      <c r="A97" s="137" t="s">
        <v>307</v>
      </c>
      <c r="B97" s="133" t="s">
        <v>308</v>
      </c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 t="s">
        <v>157</v>
      </c>
    </row>
    <row r="98" spans="1:19" ht="15.75" thickBot="1" x14ac:dyDescent="0.25">
      <c r="A98" s="137" t="s">
        <v>309</v>
      </c>
      <c r="B98" s="133" t="s">
        <v>152</v>
      </c>
      <c r="C98" s="133" t="s">
        <v>296</v>
      </c>
      <c r="D98" s="133" t="s">
        <v>310</v>
      </c>
      <c r="E98" s="140">
        <f>F93-E93</f>
        <v>0</v>
      </c>
      <c r="F98" s="140">
        <f>G93-F93</f>
        <v>0</v>
      </c>
      <c r="G98" s="140">
        <f>H93-G93</f>
        <v>0</v>
      </c>
      <c r="H98" s="140">
        <v>0</v>
      </c>
      <c r="I98" s="140">
        <v>0</v>
      </c>
      <c r="J98" s="140">
        <v>0</v>
      </c>
      <c r="K98" s="140">
        <v>0</v>
      </c>
      <c r="L98" s="140">
        <v>0</v>
      </c>
      <c r="M98" s="140">
        <v>0</v>
      </c>
      <c r="N98" s="140">
        <v>0</v>
      </c>
      <c r="O98" s="140">
        <v>0</v>
      </c>
      <c r="P98" s="140">
        <v>0</v>
      </c>
      <c r="Q98" s="140">
        <v>0</v>
      </c>
      <c r="R98" s="140">
        <v>0</v>
      </c>
      <c r="S98" s="133"/>
    </row>
    <row r="99" spans="1:19" ht="30.75" thickBot="1" x14ac:dyDescent="0.25">
      <c r="A99" s="137" t="s">
        <v>311</v>
      </c>
      <c r="B99" s="133" t="s">
        <v>159</v>
      </c>
      <c r="C99" s="133" t="s">
        <v>296</v>
      </c>
      <c r="D99" s="133" t="s">
        <v>312</v>
      </c>
      <c r="E99" s="140">
        <v>0</v>
      </c>
      <c r="F99" s="140">
        <v>0</v>
      </c>
      <c r="G99" s="140">
        <v>0</v>
      </c>
      <c r="H99" s="140">
        <v>0</v>
      </c>
      <c r="I99" s="140">
        <v>0</v>
      </c>
      <c r="J99" s="140">
        <v>0</v>
      </c>
      <c r="K99" s="140">
        <v>0</v>
      </c>
      <c r="L99" s="140">
        <v>0</v>
      </c>
      <c r="M99" s="140">
        <v>0</v>
      </c>
      <c r="N99" s="140">
        <v>0</v>
      </c>
      <c r="O99" s="140">
        <v>0</v>
      </c>
      <c r="P99" s="140">
        <v>0</v>
      </c>
      <c r="Q99" s="140">
        <v>0</v>
      </c>
      <c r="R99" s="140">
        <v>0</v>
      </c>
      <c r="S99" s="133"/>
    </row>
    <row r="100" spans="1:19" ht="221.25" customHeight="1" thickBot="1" x14ac:dyDescent="0.25">
      <c r="A100" s="137" t="s">
        <v>313</v>
      </c>
      <c r="B100" s="133" t="s">
        <v>314</v>
      </c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</row>
    <row r="101" spans="1:19" ht="37.5" customHeight="1" thickBot="1" x14ac:dyDescent="0.25">
      <c r="A101" s="137" t="s">
        <v>315</v>
      </c>
      <c r="B101" s="133" t="s">
        <v>152</v>
      </c>
      <c r="C101" s="133" t="s">
        <v>105</v>
      </c>
      <c r="D101" s="133" t="s">
        <v>316</v>
      </c>
      <c r="E101" s="140" t="e">
        <f>(F93/F92)-(E93/E92)</f>
        <v>#REF!</v>
      </c>
      <c r="F101" s="140" t="e">
        <f t="shared" ref="F101:P101" si="26">(G93/G92)-(F93/F92)</f>
        <v>#REF!</v>
      </c>
      <c r="G101" s="140" t="e">
        <f t="shared" si="26"/>
        <v>#REF!</v>
      </c>
      <c r="H101" s="140" t="e">
        <f t="shared" si="26"/>
        <v>#REF!</v>
      </c>
      <c r="I101" s="140" t="e">
        <f t="shared" si="26"/>
        <v>#REF!</v>
      </c>
      <c r="J101" s="140" t="e">
        <f t="shared" si="26"/>
        <v>#REF!</v>
      </c>
      <c r="K101" s="140" t="e">
        <f t="shared" si="26"/>
        <v>#REF!</v>
      </c>
      <c r="L101" s="140" t="e">
        <f t="shared" si="26"/>
        <v>#REF!</v>
      </c>
      <c r="M101" s="140" t="e">
        <f t="shared" si="26"/>
        <v>#REF!</v>
      </c>
      <c r="N101" s="140" t="e">
        <f t="shared" si="26"/>
        <v>#REF!</v>
      </c>
      <c r="O101" s="140" t="e">
        <f t="shared" si="26"/>
        <v>#REF!</v>
      </c>
      <c r="P101" s="140" t="e">
        <f t="shared" si="26"/>
        <v>#REF!</v>
      </c>
      <c r="Q101" s="140">
        <v>0</v>
      </c>
      <c r="R101" s="133"/>
      <c r="S101" s="133"/>
    </row>
    <row r="102" spans="1:19" ht="30.75" thickBot="1" x14ac:dyDescent="0.25">
      <c r="A102" s="137" t="s">
        <v>317</v>
      </c>
      <c r="B102" s="133" t="s">
        <v>159</v>
      </c>
      <c r="C102" s="133" t="s">
        <v>105</v>
      </c>
      <c r="D102" s="133" t="s">
        <v>318</v>
      </c>
      <c r="E102" s="140" t="e">
        <f>E93/E92-$G$93/$G$92</f>
        <v>#REF!</v>
      </c>
      <c r="F102" s="140" t="e">
        <f t="shared" ref="F102:Q102" si="27">F93/F92-$G$93/$G$92</f>
        <v>#REF!</v>
      </c>
      <c r="G102" s="140" t="e">
        <f t="shared" si="27"/>
        <v>#REF!</v>
      </c>
      <c r="H102" s="140" t="e">
        <f t="shared" si="27"/>
        <v>#REF!</v>
      </c>
      <c r="I102" s="140" t="e">
        <f t="shared" si="27"/>
        <v>#REF!</v>
      </c>
      <c r="J102" s="140" t="e">
        <f t="shared" si="27"/>
        <v>#REF!</v>
      </c>
      <c r="K102" s="140" t="e">
        <f t="shared" si="27"/>
        <v>#REF!</v>
      </c>
      <c r="L102" s="140" t="e">
        <f t="shared" si="27"/>
        <v>#REF!</v>
      </c>
      <c r="M102" s="140" t="e">
        <f t="shared" si="27"/>
        <v>#REF!</v>
      </c>
      <c r="N102" s="140" t="e">
        <f t="shared" si="27"/>
        <v>#REF!</v>
      </c>
      <c r="O102" s="140" t="e">
        <f t="shared" si="27"/>
        <v>#REF!</v>
      </c>
      <c r="P102" s="140" t="e">
        <f t="shared" si="27"/>
        <v>#REF!</v>
      </c>
      <c r="Q102" s="140" t="e">
        <f t="shared" si="27"/>
        <v>#REF!</v>
      </c>
      <c r="R102" s="133"/>
      <c r="S102" s="133"/>
    </row>
    <row r="103" spans="1:19" ht="204" customHeight="1" thickBot="1" x14ac:dyDescent="0.25">
      <c r="A103" s="137" t="s">
        <v>319</v>
      </c>
      <c r="B103" s="133" t="s">
        <v>320</v>
      </c>
      <c r="C103" s="133" t="s">
        <v>321</v>
      </c>
      <c r="D103" s="133" t="s">
        <v>322</v>
      </c>
      <c r="E103" s="194" t="e">
        <f>(#REF!+#REF!)/#REF!</f>
        <v>#REF!</v>
      </c>
      <c r="F103" s="194" t="e">
        <f>(#REF!+#REF!)/#REF!</f>
        <v>#REF!</v>
      </c>
      <c r="G103" s="194" t="e">
        <f>(#REF!+#REF!)/#REF!</f>
        <v>#REF!</v>
      </c>
      <c r="H103" s="194" t="e">
        <f>(#REF!+#REF!)/#REF!</f>
        <v>#REF!</v>
      </c>
      <c r="I103" s="194" t="e">
        <f>(#REF!+#REF!)/#REF!</f>
        <v>#REF!</v>
      </c>
      <c r="J103" s="194" t="e">
        <f>(#REF!+#REF!)/#REF!</f>
        <v>#REF!</v>
      </c>
      <c r="K103" s="142" t="e">
        <f>(#REF!+#REF!)/#REF!</f>
        <v>#REF!</v>
      </c>
      <c r="L103" s="142" t="e">
        <f>(#REF!+#REF!)/#REF!</f>
        <v>#REF!</v>
      </c>
      <c r="M103" s="142" t="e">
        <f>(#REF!+#REF!)/#REF!</f>
        <v>#REF!</v>
      </c>
      <c r="N103" s="142" t="e">
        <f>(#REF!+#REF!)/#REF!</f>
        <v>#REF!</v>
      </c>
      <c r="O103" s="142" t="e">
        <f>(#REF!+#REF!)/#REF!</f>
        <v>#REF!</v>
      </c>
      <c r="P103" s="142" t="e">
        <f>(#REF!+#REF!)/#REF!</f>
        <v>#REF!</v>
      </c>
      <c r="Q103" s="142" t="e">
        <f>(#REF!+#REF!)/#REF!</f>
        <v>#REF!</v>
      </c>
      <c r="R103" s="133"/>
      <c r="S103" s="133"/>
    </row>
    <row r="104" spans="1:19" ht="143.25" customHeight="1" thickBot="1" x14ac:dyDescent="0.25">
      <c r="A104" s="137" t="s">
        <v>323</v>
      </c>
      <c r="B104" s="133" t="s">
        <v>324</v>
      </c>
      <c r="C104" s="133" t="s">
        <v>321</v>
      </c>
      <c r="D104" s="133" t="s">
        <v>325</v>
      </c>
      <c r="E104" s="194" t="e">
        <f>((#REF!-#REF!)+(#REF!-#REF!))/#REF!</f>
        <v>#REF!</v>
      </c>
      <c r="F104" s="194" t="e">
        <f>((#REF!-#REF!)+(#REF!-#REF!))/#REF!</f>
        <v>#REF!</v>
      </c>
      <c r="G104" s="194" t="e">
        <f>((#REF!-#REF!)+(#REF!-#REF!))/#REF!</f>
        <v>#REF!</v>
      </c>
      <c r="H104" s="194" t="e">
        <f>((#REF!-#REF!)+(#REF!-#REF!))/#REF!</f>
        <v>#REF!</v>
      </c>
      <c r="I104" s="194" t="e">
        <f>((#REF!-#REF!)+(#REF!-#REF!))/#REF!</f>
        <v>#REF!</v>
      </c>
      <c r="J104" s="194" t="e">
        <f>((#REF!-#REF!)+(#REF!-#REF!))/#REF!</f>
        <v>#REF!</v>
      </c>
      <c r="K104" s="194">
        <v>0</v>
      </c>
      <c r="L104" s="194">
        <v>0</v>
      </c>
      <c r="M104" s="194">
        <v>0</v>
      </c>
      <c r="N104" s="194">
        <v>0</v>
      </c>
      <c r="O104" s="194">
        <v>0</v>
      </c>
      <c r="P104" s="194">
        <v>0</v>
      </c>
      <c r="Q104" s="194">
        <v>0</v>
      </c>
      <c r="R104" s="133"/>
      <c r="S104" s="133"/>
    </row>
    <row r="105" spans="1:19" ht="183.75" customHeight="1" thickBot="1" x14ac:dyDescent="0.25">
      <c r="A105" s="137" t="s">
        <v>326</v>
      </c>
      <c r="B105" s="133" t="s">
        <v>328</v>
      </c>
      <c r="C105" s="133"/>
      <c r="D105" s="133"/>
      <c r="E105" s="133"/>
      <c r="F105" s="133"/>
      <c r="G105" s="133"/>
      <c r="H105" s="133"/>
      <c r="I105" s="142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</row>
    <row r="106" spans="1:19" ht="75.75" thickBot="1" x14ac:dyDescent="0.25">
      <c r="A106" s="137" t="s">
        <v>329</v>
      </c>
      <c r="B106" s="133" t="s">
        <v>152</v>
      </c>
      <c r="C106" s="133" t="s">
        <v>321</v>
      </c>
      <c r="D106" s="133" t="s">
        <v>330</v>
      </c>
      <c r="E106" s="142" t="e">
        <f>F103-E103</f>
        <v>#REF!</v>
      </c>
      <c r="F106" s="142" t="e">
        <f>G103-F103</f>
        <v>#REF!</v>
      </c>
      <c r="G106" s="195" t="e">
        <f t="shared" ref="G106:Q106" si="28">H103-G103</f>
        <v>#REF!</v>
      </c>
      <c r="H106" s="142" t="e">
        <f t="shared" si="28"/>
        <v>#REF!</v>
      </c>
      <c r="I106" s="142" t="e">
        <f t="shared" si="28"/>
        <v>#REF!</v>
      </c>
      <c r="J106" s="142" t="e">
        <f t="shared" si="28"/>
        <v>#REF!</v>
      </c>
      <c r="K106" s="142" t="e">
        <f t="shared" si="28"/>
        <v>#REF!</v>
      </c>
      <c r="L106" s="142" t="e">
        <f t="shared" si="28"/>
        <v>#REF!</v>
      </c>
      <c r="M106" s="142" t="e">
        <f t="shared" si="28"/>
        <v>#REF!</v>
      </c>
      <c r="N106" s="142" t="e">
        <f t="shared" si="28"/>
        <v>#REF!</v>
      </c>
      <c r="O106" s="142" t="e">
        <f t="shared" si="28"/>
        <v>#REF!</v>
      </c>
      <c r="P106" s="142" t="e">
        <f t="shared" si="28"/>
        <v>#REF!</v>
      </c>
      <c r="Q106" s="142" t="e">
        <f t="shared" si="28"/>
        <v>#REF!</v>
      </c>
      <c r="R106" s="133"/>
      <c r="S106" s="133" t="s">
        <v>157</v>
      </c>
    </row>
    <row r="107" spans="1:19" ht="30.75" thickBot="1" x14ac:dyDescent="0.25">
      <c r="A107" s="137" t="s">
        <v>331</v>
      </c>
      <c r="B107" s="133" t="s">
        <v>159</v>
      </c>
      <c r="C107" s="133" t="s">
        <v>321</v>
      </c>
      <c r="D107" s="133" t="s">
        <v>332</v>
      </c>
      <c r="E107" s="142" t="e">
        <f>E103-$G$103</f>
        <v>#REF!</v>
      </c>
      <c r="F107" s="142" t="e">
        <f>F103-$G$103</f>
        <v>#REF!</v>
      </c>
      <c r="G107" s="142" t="e">
        <f t="shared" ref="G107:Q107" si="29">G103-$G$103</f>
        <v>#REF!</v>
      </c>
      <c r="H107" s="195" t="e">
        <f t="shared" si="29"/>
        <v>#REF!</v>
      </c>
      <c r="I107" s="195" t="e">
        <f t="shared" si="29"/>
        <v>#REF!</v>
      </c>
      <c r="J107" s="142" t="e">
        <f t="shared" si="29"/>
        <v>#REF!</v>
      </c>
      <c r="K107" s="133" t="e">
        <f t="shared" si="29"/>
        <v>#REF!</v>
      </c>
      <c r="L107" s="133" t="e">
        <f t="shared" si="29"/>
        <v>#REF!</v>
      </c>
      <c r="M107" s="133" t="e">
        <f t="shared" si="29"/>
        <v>#REF!</v>
      </c>
      <c r="N107" s="133" t="e">
        <f t="shared" si="29"/>
        <v>#REF!</v>
      </c>
      <c r="O107" s="133" t="e">
        <f t="shared" si="29"/>
        <v>#REF!</v>
      </c>
      <c r="P107" s="133" t="e">
        <f t="shared" si="29"/>
        <v>#REF!</v>
      </c>
      <c r="Q107" s="133" t="e">
        <f t="shared" si="29"/>
        <v>#REF!</v>
      </c>
      <c r="R107" s="133"/>
      <c r="S107" s="133"/>
    </row>
    <row r="108" spans="1:19" ht="159.75" customHeight="1" thickBot="1" x14ac:dyDescent="0.25">
      <c r="A108" s="137" t="s">
        <v>333</v>
      </c>
      <c r="B108" s="133" t="s">
        <v>340</v>
      </c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</row>
    <row r="109" spans="1:19" ht="78" customHeight="1" thickBot="1" x14ac:dyDescent="0.25">
      <c r="A109" s="137" t="s">
        <v>341</v>
      </c>
      <c r="B109" s="133" t="s">
        <v>152</v>
      </c>
      <c r="C109" s="133" t="s">
        <v>321</v>
      </c>
      <c r="D109" s="133" t="s">
        <v>342</v>
      </c>
      <c r="E109" s="142" t="e">
        <f>F104-E104</f>
        <v>#REF!</v>
      </c>
      <c r="F109" s="142" t="e">
        <f t="shared" ref="F109:Q109" si="30">G104-F104</f>
        <v>#REF!</v>
      </c>
      <c r="G109" s="142" t="e">
        <f t="shared" si="30"/>
        <v>#REF!</v>
      </c>
      <c r="H109" s="142" t="e">
        <f t="shared" si="30"/>
        <v>#REF!</v>
      </c>
      <c r="I109" s="142" t="e">
        <f t="shared" si="30"/>
        <v>#REF!</v>
      </c>
      <c r="J109" s="142" t="e">
        <f t="shared" si="30"/>
        <v>#REF!</v>
      </c>
      <c r="K109" s="142">
        <f t="shared" si="30"/>
        <v>0</v>
      </c>
      <c r="L109" s="142">
        <f t="shared" si="30"/>
        <v>0</v>
      </c>
      <c r="M109" s="142">
        <f t="shared" si="30"/>
        <v>0</v>
      </c>
      <c r="N109" s="142">
        <f t="shared" si="30"/>
        <v>0</v>
      </c>
      <c r="O109" s="142">
        <f t="shared" si="30"/>
        <v>0</v>
      </c>
      <c r="P109" s="142">
        <f t="shared" si="30"/>
        <v>0</v>
      </c>
      <c r="Q109" s="142">
        <f t="shared" si="30"/>
        <v>0</v>
      </c>
      <c r="R109" s="133"/>
      <c r="S109" s="133" t="s">
        <v>157</v>
      </c>
    </row>
    <row r="110" spans="1:19" ht="54.75" customHeight="1" thickBot="1" x14ac:dyDescent="0.25">
      <c r="A110" s="137" t="s">
        <v>343</v>
      </c>
      <c r="B110" s="133" t="s">
        <v>159</v>
      </c>
      <c r="C110" s="133" t="s">
        <v>321</v>
      </c>
      <c r="D110" s="133" t="s">
        <v>344</v>
      </c>
      <c r="E110" s="142" t="e">
        <f>E104-$G$104</f>
        <v>#REF!</v>
      </c>
      <c r="F110" s="142" t="e">
        <f>F104-$G$104</f>
        <v>#REF!</v>
      </c>
      <c r="G110" s="142" t="e">
        <f t="shared" ref="G110:Q110" si="31">G104-$G$104</f>
        <v>#REF!</v>
      </c>
      <c r="H110" s="142" t="e">
        <f t="shared" si="31"/>
        <v>#REF!</v>
      </c>
      <c r="I110" s="142" t="e">
        <f t="shared" si="31"/>
        <v>#REF!</v>
      </c>
      <c r="J110" s="142" t="e">
        <f t="shared" si="31"/>
        <v>#REF!</v>
      </c>
      <c r="K110" s="142" t="e">
        <f t="shared" si="31"/>
        <v>#REF!</v>
      </c>
      <c r="L110" s="142" t="e">
        <f t="shared" si="31"/>
        <v>#REF!</v>
      </c>
      <c r="M110" s="142" t="e">
        <f t="shared" si="31"/>
        <v>#REF!</v>
      </c>
      <c r="N110" s="142" t="e">
        <f t="shared" si="31"/>
        <v>#REF!</v>
      </c>
      <c r="O110" s="142" t="e">
        <f t="shared" si="31"/>
        <v>#REF!</v>
      </c>
      <c r="P110" s="142" t="e">
        <f t="shared" si="31"/>
        <v>#REF!</v>
      </c>
      <c r="Q110" s="142" t="e">
        <f t="shared" si="31"/>
        <v>#REF!</v>
      </c>
      <c r="R110" s="133"/>
      <c r="S110" s="133"/>
    </row>
    <row r="111" spans="1:19" ht="219" customHeight="1" thickBot="1" x14ac:dyDescent="0.25">
      <c r="A111" s="137" t="s">
        <v>345</v>
      </c>
      <c r="B111" s="133" t="s">
        <v>346</v>
      </c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</row>
    <row r="112" spans="1:19" ht="30.75" thickBot="1" x14ac:dyDescent="0.25">
      <c r="A112" s="137" t="s">
        <v>347</v>
      </c>
      <c r="B112" s="133" t="s">
        <v>152</v>
      </c>
      <c r="C112" s="133" t="s">
        <v>105</v>
      </c>
      <c r="D112" s="133" t="s">
        <v>348</v>
      </c>
      <c r="E112" s="142" t="e">
        <f>F104/F103-E104/E103</f>
        <v>#REF!</v>
      </c>
      <c r="F112" s="142" t="e">
        <f t="shared" ref="F112:P112" si="32">G104/G103-F104/F103</f>
        <v>#REF!</v>
      </c>
      <c r="G112" s="142" t="e">
        <f t="shared" si="32"/>
        <v>#REF!</v>
      </c>
      <c r="H112" s="142" t="e">
        <f t="shared" si="32"/>
        <v>#REF!</v>
      </c>
      <c r="I112" s="142" t="e">
        <f t="shared" si="32"/>
        <v>#REF!</v>
      </c>
      <c r="J112" s="142" t="e">
        <f t="shared" si="32"/>
        <v>#REF!</v>
      </c>
      <c r="K112" s="142" t="e">
        <f t="shared" si="32"/>
        <v>#REF!</v>
      </c>
      <c r="L112" s="142" t="e">
        <f t="shared" si="32"/>
        <v>#REF!</v>
      </c>
      <c r="M112" s="142" t="e">
        <f t="shared" si="32"/>
        <v>#REF!</v>
      </c>
      <c r="N112" s="142" t="e">
        <f t="shared" si="32"/>
        <v>#REF!</v>
      </c>
      <c r="O112" s="142" t="e">
        <f t="shared" si="32"/>
        <v>#REF!</v>
      </c>
      <c r="P112" s="142" t="e">
        <f t="shared" si="32"/>
        <v>#REF!</v>
      </c>
      <c r="Q112" s="142">
        <v>0</v>
      </c>
      <c r="R112" s="133"/>
      <c r="S112" s="133"/>
    </row>
    <row r="113" spans="1:19" ht="30.75" thickBot="1" x14ac:dyDescent="0.25">
      <c r="A113" s="137" t="s">
        <v>349</v>
      </c>
      <c r="B113" s="133" t="s">
        <v>159</v>
      </c>
      <c r="C113" s="133" t="s">
        <v>105</v>
      </c>
      <c r="D113" s="133" t="s">
        <v>350</v>
      </c>
      <c r="E113" s="142" t="e">
        <f>E104/E103-$G$104/$G$103</f>
        <v>#REF!</v>
      </c>
      <c r="F113" s="142" t="e">
        <f t="shared" ref="F113:Q113" si="33">F104/F103-$G$104/$G$103</f>
        <v>#REF!</v>
      </c>
      <c r="G113" s="142" t="e">
        <f t="shared" si="33"/>
        <v>#REF!</v>
      </c>
      <c r="H113" s="142" t="e">
        <f t="shared" si="33"/>
        <v>#REF!</v>
      </c>
      <c r="I113" s="142" t="e">
        <f t="shared" si="33"/>
        <v>#REF!</v>
      </c>
      <c r="J113" s="142" t="e">
        <f t="shared" si="33"/>
        <v>#REF!</v>
      </c>
      <c r="K113" s="142" t="e">
        <f t="shared" si="33"/>
        <v>#REF!</v>
      </c>
      <c r="L113" s="142" t="e">
        <f t="shared" si="33"/>
        <v>#REF!</v>
      </c>
      <c r="M113" s="142" t="e">
        <f t="shared" si="33"/>
        <v>#REF!</v>
      </c>
      <c r="N113" s="142" t="e">
        <f t="shared" si="33"/>
        <v>#REF!</v>
      </c>
      <c r="O113" s="142" t="e">
        <f t="shared" si="33"/>
        <v>#REF!</v>
      </c>
      <c r="P113" s="142" t="e">
        <f t="shared" si="33"/>
        <v>#REF!</v>
      </c>
      <c r="Q113" s="142" t="e">
        <f t="shared" si="33"/>
        <v>#REF!</v>
      </c>
      <c r="R113" s="133"/>
      <c r="S113" s="133"/>
    </row>
    <row r="114" spans="1:19" ht="47.25" customHeight="1" thickBot="1" x14ac:dyDescent="0.25">
      <c r="A114" s="669" t="s">
        <v>351</v>
      </c>
      <c r="B114" s="670"/>
      <c r="C114" s="670"/>
      <c r="D114" s="670"/>
      <c r="E114" s="670"/>
      <c r="F114" s="670"/>
      <c r="G114" s="670"/>
      <c r="H114" s="670"/>
      <c r="I114" s="670"/>
      <c r="J114" s="670"/>
      <c r="K114" s="670"/>
      <c r="L114" s="670"/>
      <c r="M114" s="670"/>
      <c r="N114" s="670"/>
      <c r="O114" s="670"/>
      <c r="P114" s="670"/>
      <c r="Q114" s="670"/>
      <c r="R114" s="670"/>
      <c r="S114" s="671"/>
    </row>
    <row r="115" spans="1:19" ht="67.5" customHeight="1" thickBot="1" x14ac:dyDescent="0.25">
      <c r="A115" s="137" t="s">
        <v>352</v>
      </c>
      <c r="B115" s="133" t="s">
        <v>353</v>
      </c>
      <c r="C115" s="133" t="s">
        <v>354</v>
      </c>
      <c r="D115" s="133" t="s">
        <v>355</v>
      </c>
      <c r="E115" s="147" t="e">
        <f>#REF!-#REF!</f>
        <v>#REF!</v>
      </c>
      <c r="F115" s="147" t="e">
        <f>#REF!-#REF!</f>
        <v>#REF!</v>
      </c>
      <c r="G115" s="147" t="e">
        <f>#REF!-#REF!</f>
        <v>#REF!</v>
      </c>
      <c r="H115" s="147" t="e">
        <f>#REF!-#REF!</f>
        <v>#REF!</v>
      </c>
      <c r="I115" s="147" t="e">
        <f>#REF!-#REF!</f>
        <v>#REF!</v>
      </c>
      <c r="J115" s="147" t="e">
        <f>#REF!-#REF!</f>
        <v>#REF!</v>
      </c>
      <c r="K115" s="147" t="e">
        <f>#REF!-#REF!</f>
        <v>#REF!</v>
      </c>
      <c r="L115" s="147" t="e">
        <f>#REF!-#REF!</f>
        <v>#REF!</v>
      </c>
      <c r="M115" s="147" t="e">
        <f>#REF!-#REF!</f>
        <v>#REF!</v>
      </c>
      <c r="N115" s="147" t="e">
        <f>#REF!-#REF!</f>
        <v>#REF!</v>
      </c>
      <c r="O115" s="147" t="e">
        <f>#REF!-#REF!</f>
        <v>#REF!</v>
      </c>
      <c r="P115" s="147" t="e">
        <f>#REF!-#REF!</f>
        <v>#REF!</v>
      </c>
      <c r="Q115" s="147" t="e">
        <f>#REF!-#REF!</f>
        <v>#REF!</v>
      </c>
      <c r="R115" s="147"/>
      <c r="S115" s="672" t="s">
        <v>356</v>
      </c>
    </row>
    <row r="116" spans="1:19" ht="39" customHeight="1" thickBot="1" x14ac:dyDescent="0.25">
      <c r="A116" s="137" t="s">
        <v>357</v>
      </c>
      <c r="B116" s="133" t="s">
        <v>358</v>
      </c>
      <c r="C116" s="133" t="s">
        <v>359</v>
      </c>
      <c r="D116" s="133" t="s">
        <v>360</v>
      </c>
      <c r="E116" s="147" t="e">
        <f>#REF!-#REF!</f>
        <v>#REF!</v>
      </c>
      <c r="F116" s="147" t="e">
        <f>#REF!-#REF!</f>
        <v>#REF!</v>
      </c>
      <c r="G116" s="147" t="e">
        <f>#REF!-#REF!</f>
        <v>#REF!</v>
      </c>
      <c r="H116" s="147" t="e">
        <f>#REF!-#REF!</f>
        <v>#REF!</v>
      </c>
      <c r="I116" s="147" t="e">
        <f>#REF!-#REF!</f>
        <v>#REF!</v>
      </c>
      <c r="J116" s="147" t="e">
        <f>#REF!-#REF!</f>
        <v>#REF!</v>
      </c>
      <c r="K116" s="147" t="e">
        <f>#REF!-#REF!</f>
        <v>#REF!</v>
      </c>
      <c r="L116" s="147" t="e">
        <f>#REF!-#REF!</f>
        <v>#REF!</v>
      </c>
      <c r="M116" s="147" t="e">
        <f>#REF!-#REF!</f>
        <v>#REF!</v>
      </c>
      <c r="N116" s="147" t="e">
        <f>#REF!-#REF!</f>
        <v>#REF!</v>
      </c>
      <c r="O116" s="147" t="e">
        <f>#REF!-#REF!</f>
        <v>#REF!</v>
      </c>
      <c r="P116" s="147" t="e">
        <f>#REF!-#REF!</f>
        <v>#REF!</v>
      </c>
      <c r="Q116" s="147" t="e">
        <f>#REF!-#REF!</f>
        <v>#REF!</v>
      </c>
      <c r="R116" s="147"/>
      <c r="S116" s="674"/>
    </row>
    <row r="117" spans="1:19" ht="90.75" thickBot="1" x14ac:dyDescent="0.25">
      <c r="A117" s="137" t="s">
        <v>361</v>
      </c>
      <c r="B117" s="133" t="s">
        <v>362</v>
      </c>
      <c r="C117" s="133" t="s">
        <v>15</v>
      </c>
      <c r="D117" s="133" t="s">
        <v>363</v>
      </c>
      <c r="E117" s="148" t="e">
        <f>(#REF!/#REF!)*100</f>
        <v>#REF!</v>
      </c>
      <c r="F117" s="147" t="e">
        <f>(#REF!/#REF!)*100</f>
        <v>#REF!</v>
      </c>
      <c r="G117" s="147" t="e">
        <f>(#REF!/#REF!)*100</f>
        <v>#REF!</v>
      </c>
      <c r="H117" s="147" t="e">
        <f>(#REF!/#REF!)*100</f>
        <v>#REF!</v>
      </c>
      <c r="I117" s="148" t="e">
        <f>(#REF!/#REF!)*100</f>
        <v>#REF!</v>
      </c>
      <c r="J117" s="148" t="e">
        <f>(#REF!/#REF!)*100</f>
        <v>#REF!</v>
      </c>
      <c r="K117" s="148" t="e">
        <f>(#REF!/#REF!)*100</f>
        <v>#REF!</v>
      </c>
      <c r="L117" s="148" t="e">
        <f>(#REF!/#REF!)*100</f>
        <v>#REF!</v>
      </c>
      <c r="M117" s="148" t="e">
        <f>(#REF!/#REF!)*100</f>
        <v>#REF!</v>
      </c>
      <c r="N117" s="148" t="e">
        <f>(#REF!/#REF!)*100</f>
        <v>#REF!</v>
      </c>
      <c r="O117" s="148" t="e">
        <f>(#REF!/#REF!)*100</f>
        <v>#REF!</v>
      </c>
      <c r="P117" s="148" t="e">
        <f>(#REF!/#REF!)*100</f>
        <v>#REF!</v>
      </c>
      <c r="Q117" s="148" t="e">
        <f>(#REF!/#REF!)*100</f>
        <v>#REF!</v>
      </c>
      <c r="R117" s="147"/>
      <c r="S117" s="674"/>
    </row>
    <row r="118" spans="1:19" ht="67.5" customHeight="1" thickBot="1" x14ac:dyDescent="0.25">
      <c r="A118" s="137" t="s">
        <v>364</v>
      </c>
      <c r="B118" s="133" t="s">
        <v>365</v>
      </c>
      <c r="C118" s="133" t="s">
        <v>15</v>
      </c>
      <c r="D118" s="133" t="s">
        <v>366</v>
      </c>
      <c r="E118" s="148" t="e">
        <f>(#REF!/#REF!)*100</f>
        <v>#REF!</v>
      </c>
      <c r="F118" s="147" t="e">
        <f>(#REF!/#REF!)*100</f>
        <v>#REF!</v>
      </c>
      <c r="G118" s="147" t="e">
        <f>(#REF!/#REF!)*100</f>
        <v>#REF!</v>
      </c>
      <c r="H118" s="147" t="e">
        <f>(#REF!/#REF!)*100</f>
        <v>#REF!</v>
      </c>
      <c r="I118" s="148" t="e">
        <f>(#REF!/#REF!)*100</f>
        <v>#REF!</v>
      </c>
      <c r="J118" s="148" t="e">
        <f>(#REF!/#REF!)*100</f>
        <v>#REF!</v>
      </c>
      <c r="K118" s="148" t="e">
        <f>(#REF!/#REF!)*100</f>
        <v>#REF!</v>
      </c>
      <c r="L118" s="148" t="e">
        <f>(#REF!/#REF!)*100</f>
        <v>#REF!</v>
      </c>
      <c r="M118" s="148" t="e">
        <f>(#REF!/#REF!)*100</f>
        <v>#REF!</v>
      </c>
      <c r="N118" s="148" t="e">
        <f>(#REF!/#REF!)*100</f>
        <v>#REF!</v>
      </c>
      <c r="O118" s="148" t="e">
        <f>(#REF!/#REF!)*100</f>
        <v>#REF!</v>
      </c>
      <c r="P118" s="148" t="e">
        <f>(#REF!/#REF!)*100</f>
        <v>#REF!</v>
      </c>
      <c r="Q118" s="148" t="e">
        <f>(#REF!/#REF!)*100</f>
        <v>#REF!</v>
      </c>
      <c r="R118" s="147"/>
      <c r="S118" s="674"/>
    </row>
    <row r="119" spans="1:19" ht="70.5" customHeight="1" thickBot="1" x14ac:dyDescent="0.25">
      <c r="A119" s="137" t="s">
        <v>367</v>
      </c>
      <c r="B119" s="133" t="s">
        <v>368</v>
      </c>
      <c r="C119" s="133" t="s">
        <v>15</v>
      </c>
      <c r="D119" s="133" t="s">
        <v>369</v>
      </c>
      <c r="E119" s="148" t="e">
        <f>(#REF!/#REF!)*100</f>
        <v>#REF!</v>
      </c>
      <c r="F119" s="148" t="e">
        <f>(#REF!/#REF!)*100</f>
        <v>#REF!</v>
      </c>
      <c r="G119" s="148" t="e">
        <f>(#REF!/#REF!)*100</f>
        <v>#REF!</v>
      </c>
      <c r="H119" s="148" t="e">
        <f>(#REF!/#REF!)*100</f>
        <v>#REF!</v>
      </c>
      <c r="I119" s="148" t="e">
        <f>(#REF!/#REF!)*100</f>
        <v>#REF!</v>
      </c>
      <c r="J119" s="148" t="e">
        <f>(#REF!/#REF!)*100</f>
        <v>#REF!</v>
      </c>
      <c r="K119" s="148" t="e">
        <f>(#REF!/#REF!)*100</f>
        <v>#REF!</v>
      </c>
      <c r="L119" s="148" t="e">
        <f>(#REF!/#REF!)*100</f>
        <v>#REF!</v>
      </c>
      <c r="M119" s="148" t="e">
        <f>(#REF!/#REF!)*100</f>
        <v>#REF!</v>
      </c>
      <c r="N119" s="148" t="e">
        <f>(#REF!/#REF!)*100</f>
        <v>#REF!</v>
      </c>
      <c r="O119" s="148" t="e">
        <f>(#REF!/#REF!)*100</f>
        <v>#REF!</v>
      </c>
      <c r="P119" s="148" t="e">
        <f>(#REF!/#REF!)*100</f>
        <v>#REF!</v>
      </c>
      <c r="Q119" s="148" t="e">
        <f>(#REF!/#REF!)*100</f>
        <v>#REF!</v>
      </c>
      <c r="R119" s="147"/>
      <c r="S119" s="674"/>
    </row>
    <row r="120" spans="1:19" ht="84" customHeight="1" thickBot="1" x14ac:dyDescent="0.25">
      <c r="A120" s="137" t="s">
        <v>370</v>
      </c>
      <c r="B120" s="133" t="s">
        <v>371</v>
      </c>
      <c r="C120" s="133" t="s">
        <v>15</v>
      </c>
      <c r="D120" s="133" t="s">
        <v>372</v>
      </c>
      <c r="E120" s="148" t="e">
        <f>(#REF!/#REF!)*100</f>
        <v>#REF!</v>
      </c>
      <c r="F120" s="148" t="e">
        <f>(#REF!/#REF!)*100</f>
        <v>#REF!</v>
      </c>
      <c r="G120" s="148" t="e">
        <f>(#REF!/#REF!)*100</f>
        <v>#REF!</v>
      </c>
      <c r="H120" s="148" t="e">
        <f>(#REF!/#REF!)*100</f>
        <v>#REF!</v>
      </c>
      <c r="I120" s="148" t="e">
        <f>(#REF!/#REF!)*100</f>
        <v>#REF!</v>
      </c>
      <c r="J120" s="148" t="e">
        <f>(#REF!/#REF!)*100</f>
        <v>#REF!</v>
      </c>
      <c r="K120" s="148" t="e">
        <f>(#REF!/#REF!)*100</f>
        <v>#REF!</v>
      </c>
      <c r="L120" s="148" t="e">
        <f>(#REF!/#REF!)*100</f>
        <v>#REF!</v>
      </c>
      <c r="M120" s="148" t="e">
        <f>(#REF!/#REF!)*100</f>
        <v>#REF!</v>
      </c>
      <c r="N120" s="148" t="e">
        <f>(#REF!/#REF!)*100</f>
        <v>#REF!</v>
      </c>
      <c r="O120" s="148" t="e">
        <f>(#REF!/#REF!)*100</f>
        <v>#REF!</v>
      </c>
      <c r="P120" s="148" t="e">
        <f>(#REF!/#REF!)*100</f>
        <v>#REF!</v>
      </c>
      <c r="Q120" s="148" t="e">
        <f>(#REF!/#REF!)*100</f>
        <v>#REF!</v>
      </c>
      <c r="R120" s="147"/>
      <c r="S120" s="673"/>
    </row>
    <row r="121" spans="1:19" ht="47.25" customHeight="1" thickBot="1" x14ac:dyDescent="0.25">
      <c r="A121" s="669" t="s">
        <v>373</v>
      </c>
      <c r="B121" s="670"/>
      <c r="C121" s="670"/>
      <c r="D121" s="670"/>
      <c r="E121" s="670"/>
      <c r="F121" s="670"/>
      <c r="G121" s="670"/>
      <c r="H121" s="670"/>
      <c r="I121" s="670"/>
      <c r="J121" s="670"/>
      <c r="K121" s="670"/>
      <c r="L121" s="670"/>
      <c r="M121" s="670"/>
      <c r="N121" s="670"/>
      <c r="O121" s="670"/>
      <c r="P121" s="670"/>
      <c r="Q121" s="670"/>
      <c r="R121" s="670"/>
      <c r="S121" s="671"/>
    </row>
    <row r="122" spans="1:19" ht="244.5" customHeight="1" thickBot="1" x14ac:dyDescent="0.25">
      <c r="A122" s="137" t="s">
        <v>374</v>
      </c>
      <c r="B122" s="133" t="s">
        <v>377</v>
      </c>
      <c r="C122" s="133" t="s">
        <v>15</v>
      </c>
      <c r="D122" s="133" t="s">
        <v>378</v>
      </c>
      <c r="E122" s="147">
        <v>0</v>
      </c>
      <c r="F122" s="147">
        <v>0</v>
      </c>
      <c r="G122" s="147">
        <v>0</v>
      </c>
      <c r="H122" s="147">
        <v>0</v>
      </c>
      <c r="I122" s="147">
        <v>0</v>
      </c>
      <c r="J122" s="147">
        <v>0</v>
      </c>
      <c r="K122" s="147">
        <v>0</v>
      </c>
      <c r="L122" s="147">
        <v>0</v>
      </c>
      <c r="M122" s="147">
        <v>0</v>
      </c>
      <c r="N122" s="147">
        <v>0</v>
      </c>
      <c r="O122" s="147">
        <v>0</v>
      </c>
      <c r="P122" s="147">
        <v>0</v>
      </c>
      <c r="Q122" s="147">
        <v>0</v>
      </c>
      <c r="R122" s="147"/>
      <c r="S122" s="672" t="s">
        <v>379</v>
      </c>
    </row>
    <row r="123" spans="1:19" ht="297" customHeight="1" thickBot="1" x14ac:dyDescent="0.25">
      <c r="A123" s="137" t="s">
        <v>380</v>
      </c>
      <c r="B123" s="133" t="s">
        <v>382</v>
      </c>
      <c r="C123" s="133" t="s">
        <v>15</v>
      </c>
      <c r="D123" s="133" t="s">
        <v>387</v>
      </c>
      <c r="E123" s="147">
        <v>0</v>
      </c>
      <c r="F123" s="147">
        <v>0</v>
      </c>
      <c r="G123" s="147">
        <v>0</v>
      </c>
      <c r="H123" s="147">
        <v>0</v>
      </c>
      <c r="I123" s="147">
        <v>0</v>
      </c>
      <c r="J123" s="147">
        <v>0</v>
      </c>
      <c r="K123" s="147">
        <v>0</v>
      </c>
      <c r="L123" s="147">
        <v>0</v>
      </c>
      <c r="M123" s="147">
        <v>0</v>
      </c>
      <c r="N123" s="147">
        <v>0</v>
      </c>
      <c r="O123" s="147">
        <v>0</v>
      </c>
      <c r="P123" s="147">
        <v>0</v>
      </c>
      <c r="Q123" s="147">
        <v>0</v>
      </c>
      <c r="R123" s="147"/>
      <c r="S123" s="673"/>
    </row>
  </sheetData>
  <sheetProtection password="CF6E" sheet="1" objects="1" scenarios="1" selectLockedCells="1" selectUnlockedCells="1"/>
  <mergeCells count="13">
    <mergeCell ref="A3:A4"/>
    <mergeCell ref="B3:B4"/>
    <mergeCell ref="C3:C4"/>
    <mergeCell ref="E3:R3"/>
    <mergeCell ref="S3:S4"/>
    <mergeCell ref="A6:S6"/>
    <mergeCell ref="S122:S123"/>
    <mergeCell ref="A57:S57"/>
    <mergeCell ref="A114:S114"/>
    <mergeCell ref="S115:S120"/>
    <mergeCell ref="A121:S121"/>
    <mergeCell ref="A15:S15"/>
    <mergeCell ref="A24:S24"/>
  </mergeCells>
  <phoneticPr fontId="0" type="noConversion"/>
  <pageMargins left="0" right="0" top="0.98425196850393704" bottom="0.98425196850393704" header="0.51181102362204722" footer="0.51181102362204722"/>
  <pageSetup paperSize="9" scale="80" orientation="landscape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76"/>
  <sheetViews>
    <sheetView tabSelected="1" topLeftCell="F100" zoomScale="75" workbookViewId="0">
      <selection activeCell="G104" sqref="G104"/>
    </sheetView>
  </sheetViews>
  <sheetFormatPr defaultRowHeight="15" x14ac:dyDescent="0.25"/>
  <cols>
    <col min="1" max="3" width="0" style="391" hidden="1" customWidth="1"/>
    <col min="4" max="4" width="8.140625" style="391" hidden="1" customWidth="1"/>
    <col min="5" max="5" width="9.28515625" style="391" hidden="1" customWidth="1"/>
    <col min="6" max="6" width="4.7109375" style="399" customWidth="1"/>
    <col min="7" max="7" width="35" style="560" customWidth="1"/>
    <col min="8" max="8" width="11.28515625" style="517" customWidth="1"/>
    <col min="9" max="9" width="10.5703125" style="527" customWidth="1"/>
    <col min="10" max="10" width="10.7109375" style="399" customWidth="1"/>
    <col min="11" max="11" width="9.140625" style="399" customWidth="1"/>
    <col min="12" max="12" width="9.85546875" style="587" customWidth="1"/>
    <col min="13" max="13" width="9.7109375" style="399" customWidth="1"/>
    <col min="14" max="14" width="10.28515625" style="399" customWidth="1"/>
    <col min="15" max="15" width="9.5703125" style="399" customWidth="1"/>
    <col min="16" max="16" width="10.28515625" style="399" customWidth="1"/>
    <col min="17" max="17" width="10.140625" style="399" customWidth="1"/>
    <col min="18" max="18" width="10" style="399" customWidth="1"/>
    <col min="19" max="19" width="9.7109375" style="399" customWidth="1"/>
    <col min="20" max="20" width="9.28515625" style="399" hidden="1" customWidth="1"/>
    <col min="21" max="21" width="12" style="399" hidden="1" customWidth="1"/>
    <col min="22" max="22" width="8.7109375" style="399" hidden="1" customWidth="1"/>
    <col min="23" max="23" width="8.42578125" style="399" hidden="1" customWidth="1"/>
    <col min="24" max="24" width="0" style="399" hidden="1" customWidth="1"/>
    <col min="25" max="25" width="11.5703125" style="399" hidden="1" customWidth="1"/>
    <col min="26" max="26" width="12.42578125" style="399" hidden="1" customWidth="1"/>
    <col min="27" max="27" width="12.28515625" style="399" hidden="1" customWidth="1"/>
    <col min="28" max="28" width="18.28515625" style="399" hidden="1" customWidth="1"/>
    <col min="29" max="29" width="13.28515625" style="399" hidden="1" customWidth="1"/>
    <col min="30" max="30" width="12.5703125" style="399" hidden="1" customWidth="1"/>
    <col min="31" max="40" width="0" style="399" hidden="1" customWidth="1"/>
    <col min="41" max="41" width="11.5703125" style="399" hidden="1" customWidth="1"/>
    <col min="42" max="42" width="11.28515625" style="399" hidden="1" customWidth="1"/>
    <col min="43" max="43" width="11.140625" style="399" hidden="1" customWidth="1"/>
    <col min="44" max="44" width="0" style="399" hidden="1" customWidth="1"/>
    <col min="45" max="45" width="11.5703125" style="399" hidden="1" customWidth="1"/>
    <col min="46" max="46" width="16.85546875" style="399" hidden="1" customWidth="1"/>
    <col min="47" max="47" width="11.7109375" style="399" hidden="1" customWidth="1"/>
    <col min="48" max="54" width="0" style="399" hidden="1" customWidth="1"/>
    <col min="55" max="55" width="11.42578125" style="399" hidden="1" customWidth="1"/>
    <col min="56" max="56" width="11" style="399" hidden="1" customWidth="1"/>
    <col min="57" max="57" width="0" style="399" hidden="1" customWidth="1"/>
    <col min="58" max="68" width="0" style="391" hidden="1" customWidth="1"/>
    <col min="69" max="69" width="9.5703125" style="391" customWidth="1"/>
    <col min="70" max="70" width="10.5703125" style="391" customWidth="1"/>
    <col min="71" max="16384" width="9.140625" style="391"/>
  </cols>
  <sheetData>
    <row r="1" spans="5:70" hidden="1" x14ac:dyDescent="0.25"/>
    <row r="2" spans="5:70" hidden="1" x14ac:dyDescent="0.25"/>
    <row r="3" spans="5:70" ht="18.75" x14ac:dyDescent="0.3">
      <c r="F3" s="682" t="s">
        <v>633</v>
      </c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559"/>
      <c r="U3" s="559"/>
      <c r="V3" s="559"/>
      <c r="W3" s="559"/>
      <c r="X3" s="559"/>
      <c r="Y3" s="559"/>
      <c r="Z3" s="559"/>
      <c r="AA3" s="559"/>
      <c r="AB3" s="559"/>
      <c r="AC3" s="559"/>
      <c r="AD3" s="559"/>
      <c r="AE3" s="559"/>
      <c r="AF3" s="559"/>
      <c r="AG3" s="559"/>
      <c r="AH3" s="559"/>
      <c r="AI3" s="559"/>
      <c r="AJ3" s="559"/>
      <c r="AK3" s="559"/>
      <c r="AL3" s="559"/>
      <c r="AM3" s="559"/>
      <c r="AN3" s="559"/>
      <c r="AO3" s="559"/>
      <c r="AP3" s="559"/>
      <c r="AQ3" s="559"/>
      <c r="AR3" s="559"/>
      <c r="AS3" s="559"/>
      <c r="AT3" s="559"/>
      <c r="AU3" s="559"/>
      <c r="AV3" s="559"/>
      <c r="AW3" s="559"/>
      <c r="AX3" s="559"/>
      <c r="AY3" s="559"/>
      <c r="AZ3" s="559"/>
      <c r="BA3" s="559"/>
      <c r="BB3" s="559"/>
      <c r="BC3" s="559"/>
      <c r="BD3" s="559"/>
      <c r="BE3" s="559"/>
      <c r="BF3" s="606"/>
      <c r="BG3" s="606"/>
      <c r="BH3" s="606"/>
      <c r="BI3" s="606"/>
      <c r="BJ3" s="606"/>
      <c r="BK3" s="606"/>
      <c r="BL3" s="606"/>
      <c r="BM3" s="606"/>
      <c r="BN3" s="606"/>
      <c r="BO3" s="606"/>
      <c r="BP3" s="606"/>
      <c r="BQ3" s="680"/>
      <c r="BR3" s="680"/>
    </row>
    <row r="4" spans="5:70" ht="23.25" customHeight="1" thickBot="1" x14ac:dyDescent="0.3">
      <c r="F4" s="559"/>
      <c r="G4" s="607"/>
      <c r="H4" s="605"/>
      <c r="I4" s="559"/>
      <c r="J4" s="559"/>
      <c r="K4" s="559"/>
      <c r="L4" s="559"/>
      <c r="M4" s="559"/>
      <c r="N4" s="559"/>
      <c r="O4" s="559"/>
      <c r="P4" s="559"/>
      <c r="Q4" s="559"/>
      <c r="R4" s="683" t="s">
        <v>188</v>
      </c>
      <c r="S4" s="683"/>
      <c r="T4" s="559"/>
      <c r="U4" s="559"/>
      <c r="V4" s="559"/>
      <c r="W4" s="559"/>
      <c r="X4" s="559"/>
      <c r="Y4" s="559"/>
      <c r="Z4" s="559"/>
      <c r="AA4" s="559"/>
      <c r="AB4" s="559"/>
      <c r="AC4" s="559"/>
      <c r="AD4" s="559"/>
      <c r="AE4" s="559"/>
      <c r="AF4" s="559"/>
      <c r="AG4" s="559"/>
      <c r="AH4" s="559"/>
      <c r="AI4" s="559"/>
      <c r="AJ4" s="559"/>
      <c r="AK4" s="559"/>
      <c r="AL4" s="559"/>
      <c r="AM4" s="559"/>
      <c r="AN4" s="559"/>
      <c r="AO4" s="559"/>
      <c r="AP4" s="559"/>
      <c r="AQ4" s="559"/>
      <c r="AR4" s="559"/>
      <c r="AS4" s="559"/>
      <c r="AT4" s="559"/>
      <c r="AU4" s="559"/>
      <c r="AV4" s="559"/>
      <c r="AW4" s="559"/>
      <c r="AX4" s="559"/>
      <c r="AY4" s="559"/>
      <c r="AZ4" s="559"/>
      <c r="BA4" s="559"/>
      <c r="BB4" s="559"/>
      <c r="BC4" s="559"/>
      <c r="BD4" s="559"/>
      <c r="BE4" s="559"/>
      <c r="BF4" s="606"/>
      <c r="BG4" s="606"/>
      <c r="BH4" s="606"/>
      <c r="BI4" s="606"/>
      <c r="BJ4" s="606"/>
      <c r="BK4" s="606"/>
      <c r="BL4" s="606"/>
      <c r="BM4" s="606"/>
      <c r="BN4" s="606"/>
      <c r="BO4" s="606"/>
      <c r="BP4" s="606"/>
      <c r="BQ4" s="681"/>
      <c r="BR4" s="681"/>
    </row>
    <row r="5" spans="5:70" ht="35.25" customHeight="1" x14ac:dyDescent="0.25">
      <c r="F5" s="530" t="s">
        <v>630</v>
      </c>
      <c r="G5" s="561" t="s">
        <v>474</v>
      </c>
      <c r="H5" s="531" t="s">
        <v>480</v>
      </c>
      <c r="I5" s="684"/>
      <c r="J5" s="684"/>
      <c r="K5" s="684"/>
      <c r="L5" s="684"/>
      <c r="M5" s="684"/>
      <c r="N5" s="684"/>
      <c r="O5" s="684"/>
      <c r="P5" s="684"/>
      <c r="Q5" s="684"/>
      <c r="R5" s="684"/>
      <c r="S5" s="685"/>
      <c r="BQ5" s="645"/>
      <c r="BR5" s="608"/>
    </row>
    <row r="6" spans="5:70" x14ac:dyDescent="0.25">
      <c r="F6" s="532"/>
      <c r="G6" s="562"/>
      <c r="H6" s="533"/>
      <c r="I6" s="611">
        <v>2013</v>
      </c>
      <c r="J6" s="533">
        <v>2014</v>
      </c>
      <c r="K6" s="533">
        <v>2015</v>
      </c>
      <c r="L6" s="611">
        <v>2016</v>
      </c>
      <c r="M6" s="533">
        <v>2017</v>
      </c>
      <c r="N6" s="533">
        <v>2018</v>
      </c>
      <c r="O6" s="533">
        <v>2019</v>
      </c>
      <c r="P6" s="533">
        <v>2020</v>
      </c>
      <c r="Q6" s="533">
        <v>2021</v>
      </c>
      <c r="R6" s="533">
        <v>2022</v>
      </c>
      <c r="S6" s="534">
        <v>2023</v>
      </c>
      <c r="BQ6" s="609">
        <v>2024</v>
      </c>
      <c r="BR6" s="609">
        <v>2025</v>
      </c>
    </row>
    <row r="7" spans="5:70" ht="76.5" hidden="1" x14ac:dyDescent="0.25">
      <c r="E7" s="393" t="s">
        <v>475</v>
      </c>
      <c r="F7" s="535">
        <v>1</v>
      </c>
      <c r="G7" s="563" t="s">
        <v>124</v>
      </c>
      <c r="H7" s="536" t="s">
        <v>483</v>
      </c>
      <c r="I7" s="613">
        <v>3.9</v>
      </c>
      <c r="J7" s="538">
        <f>I7*1.04*1.07</f>
        <v>4.3399200000000002</v>
      </c>
      <c r="K7" s="538">
        <f>J7*1.034*1.068</f>
        <v>4.7926257350400006</v>
      </c>
      <c r="L7" s="612">
        <f>K7*1.035*1.075</f>
        <v>5.3323952084488804</v>
      </c>
      <c r="M7" s="538">
        <f>L7*1.042*1.075</f>
        <v>5.9730824927440125</v>
      </c>
      <c r="N7" s="538">
        <f>M7*1.042*1.07</f>
        <v>6.6596285944600107</v>
      </c>
      <c r="O7" s="538">
        <f>N7*1.041*1.068</f>
        <v>7.4040951557775054</v>
      </c>
      <c r="P7" s="538">
        <f>O7*1.04*1.062</f>
        <v>8.1776750176531401</v>
      </c>
      <c r="Q7" s="538">
        <f>P7*1.039*1.055</f>
        <v>8.9639175822254007</v>
      </c>
      <c r="R7" s="538">
        <f>Q7*1.038*1.05</f>
        <v>9.769773772867465</v>
      </c>
      <c r="S7" s="539">
        <f>R7*1.038*1.045</f>
        <v>10.597371309167068</v>
      </c>
      <c r="BQ7" s="608"/>
      <c r="BR7" s="608"/>
    </row>
    <row r="8" spans="5:70" s="521" customFormat="1" hidden="1" x14ac:dyDescent="0.25">
      <c r="E8" s="519"/>
      <c r="F8" s="535"/>
      <c r="G8" s="564" t="s">
        <v>628</v>
      </c>
      <c r="H8" s="536"/>
      <c r="I8" s="613">
        <v>1</v>
      </c>
      <c r="J8" s="538">
        <v>1.03</v>
      </c>
      <c r="K8" s="538">
        <v>1.03</v>
      </c>
      <c r="L8" s="612">
        <v>1.1080000000000001</v>
      </c>
      <c r="M8" s="538">
        <v>1.1519999999999999</v>
      </c>
      <c r="N8" s="538">
        <v>1.1870000000000001</v>
      </c>
      <c r="O8" s="538">
        <v>1.21</v>
      </c>
      <c r="P8" s="538">
        <v>1.2589999999999999</v>
      </c>
      <c r="Q8" s="538">
        <v>1.2969999999999999</v>
      </c>
      <c r="R8" s="538">
        <v>1.335</v>
      </c>
      <c r="S8" s="539">
        <v>1.3759999999999999</v>
      </c>
      <c r="T8" s="520"/>
      <c r="U8" s="520"/>
      <c r="V8" s="520"/>
      <c r="W8" s="520"/>
      <c r="X8" s="520"/>
      <c r="Y8" s="520"/>
      <c r="Z8" s="520"/>
      <c r="AA8" s="520"/>
      <c r="AB8" s="520"/>
      <c r="AC8" s="520"/>
      <c r="AD8" s="520"/>
      <c r="AE8" s="520"/>
      <c r="AF8" s="520"/>
      <c r="AG8" s="520"/>
      <c r="AH8" s="520"/>
      <c r="AI8" s="520"/>
      <c r="AJ8" s="520"/>
      <c r="AK8" s="520"/>
      <c r="AL8" s="520"/>
      <c r="AM8" s="520"/>
      <c r="AN8" s="520"/>
      <c r="AO8" s="520"/>
      <c r="AP8" s="520"/>
      <c r="AQ8" s="520"/>
      <c r="AR8" s="520"/>
      <c r="AS8" s="520"/>
      <c r="AT8" s="520"/>
      <c r="AU8" s="520"/>
      <c r="AV8" s="520"/>
      <c r="AW8" s="520"/>
      <c r="AX8" s="520"/>
      <c r="AY8" s="520"/>
      <c r="AZ8" s="520"/>
      <c r="BA8" s="520"/>
      <c r="BB8" s="520"/>
      <c r="BC8" s="520"/>
      <c r="BD8" s="520"/>
      <c r="BE8" s="520"/>
      <c r="BQ8" s="608"/>
      <c r="BR8" s="608"/>
    </row>
    <row r="9" spans="5:70" s="521" customFormat="1" hidden="1" x14ac:dyDescent="0.25">
      <c r="E9" s="519"/>
      <c r="F9" s="535"/>
      <c r="G9" s="564"/>
      <c r="H9" s="536"/>
      <c r="I9" s="613">
        <v>0.49199999999999999</v>
      </c>
      <c r="J9" s="537">
        <f t="shared" ref="J9:S9" si="0">J8/I8</f>
        <v>1.03</v>
      </c>
      <c r="K9" s="537">
        <f t="shared" si="0"/>
        <v>1</v>
      </c>
      <c r="L9" s="613">
        <f t="shared" si="0"/>
        <v>1.0757281553398059</v>
      </c>
      <c r="M9" s="537">
        <f>M8/L8</f>
        <v>1.03971119133574</v>
      </c>
      <c r="N9" s="537">
        <f t="shared" si="0"/>
        <v>1.0303819444444446</v>
      </c>
      <c r="O9" s="537">
        <f t="shared" si="0"/>
        <v>1.0193765796124683</v>
      </c>
      <c r="P9" s="537">
        <f t="shared" si="0"/>
        <v>1.0404958677685949</v>
      </c>
      <c r="Q9" s="537">
        <f t="shared" si="0"/>
        <v>1.0301826846703734</v>
      </c>
      <c r="R9" s="537">
        <f t="shared" si="0"/>
        <v>1.0292983808789515</v>
      </c>
      <c r="S9" s="540">
        <f t="shared" si="0"/>
        <v>1.0307116104868914</v>
      </c>
      <c r="T9" s="520"/>
      <c r="U9" s="520"/>
      <c r="V9" s="520"/>
      <c r="W9" s="520"/>
      <c r="X9" s="520"/>
      <c r="Y9" s="520"/>
      <c r="Z9" s="520"/>
      <c r="AA9" s="520"/>
      <c r="AB9" s="520"/>
      <c r="AC9" s="520"/>
      <c r="AD9" s="520"/>
      <c r="AE9" s="520"/>
      <c r="AF9" s="520"/>
      <c r="AG9" s="520"/>
      <c r="AH9" s="520"/>
      <c r="AI9" s="520"/>
      <c r="AJ9" s="520"/>
      <c r="AK9" s="520"/>
      <c r="AL9" s="520"/>
      <c r="AM9" s="520"/>
      <c r="AN9" s="520"/>
      <c r="AO9" s="520"/>
      <c r="AP9" s="520"/>
      <c r="AQ9" s="520"/>
      <c r="AR9" s="520"/>
      <c r="AS9" s="520"/>
      <c r="AT9" s="520"/>
      <c r="AU9" s="520"/>
      <c r="AV9" s="520"/>
      <c r="AW9" s="520"/>
      <c r="AX9" s="520"/>
      <c r="AY9" s="520"/>
      <c r="AZ9" s="520"/>
      <c r="BA9" s="520"/>
      <c r="BB9" s="520"/>
      <c r="BC9" s="520"/>
      <c r="BD9" s="520"/>
      <c r="BE9" s="520"/>
      <c r="BQ9" s="608"/>
      <c r="BR9" s="608"/>
    </row>
    <row r="10" spans="5:70" hidden="1" x14ac:dyDescent="0.25">
      <c r="F10" s="535"/>
      <c r="G10" s="564" t="s">
        <v>388</v>
      </c>
      <c r="H10" s="536"/>
      <c r="I10" s="611"/>
      <c r="J10" s="541">
        <v>1.03</v>
      </c>
      <c r="K10" s="541">
        <v>1.03</v>
      </c>
      <c r="L10" s="614">
        <v>1.03</v>
      </c>
      <c r="M10" s="541">
        <v>1.03</v>
      </c>
      <c r="N10" s="541">
        <v>1.03</v>
      </c>
      <c r="O10" s="541">
        <v>1.03</v>
      </c>
      <c r="P10" s="541">
        <v>1.03</v>
      </c>
      <c r="Q10" s="541">
        <v>1.03</v>
      </c>
      <c r="R10" s="541">
        <v>1.03</v>
      </c>
      <c r="S10" s="542">
        <v>1.03</v>
      </c>
      <c r="BQ10" s="608"/>
      <c r="BR10" s="608"/>
    </row>
    <row r="11" spans="5:70" hidden="1" x14ac:dyDescent="0.25">
      <c r="F11" s="535"/>
      <c r="G11" s="564" t="s">
        <v>612</v>
      </c>
      <c r="H11" s="536"/>
      <c r="I11" s="611"/>
      <c r="J11" s="541">
        <f>J12</f>
        <v>1.107</v>
      </c>
      <c r="K11" s="541">
        <f>J11*K12</f>
        <v>1.1822760000000001</v>
      </c>
      <c r="L11" s="614">
        <f t="shared" ref="L11:S11" si="1">K11*L12</f>
        <v>1.2709467000000001</v>
      </c>
      <c r="M11" s="541">
        <f>L11*M12</f>
        <v>1.3662677025000001</v>
      </c>
      <c r="N11" s="541">
        <f t="shared" si="1"/>
        <v>1.4619064416750001</v>
      </c>
      <c r="O11" s="541">
        <f t="shared" si="1"/>
        <v>1.5613160797089001</v>
      </c>
      <c r="P11" s="541">
        <f t="shared" si="1"/>
        <v>1.6581176766508519</v>
      </c>
      <c r="Q11" s="541">
        <f t="shared" si="1"/>
        <v>1.7493141488666486</v>
      </c>
      <c r="R11" s="541">
        <f t="shared" si="1"/>
        <v>1.8367798563099811</v>
      </c>
      <c r="S11" s="542">
        <f t="shared" si="1"/>
        <v>1.91943494984393</v>
      </c>
      <c r="BQ11" s="608"/>
      <c r="BR11" s="608"/>
    </row>
    <row r="12" spans="5:70" hidden="1" x14ac:dyDescent="0.25">
      <c r="F12" s="535"/>
      <c r="G12" s="564" t="s">
        <v>389</v>
      </c>
      <c r="H12" s="536"/>
      <c r="I12" s="611"/>
      <c r="J12" s="541">
        <v>1.107</v>
      </c>
      <c r="K12" s="541">
        <v>1.0680000000000001</v>
      </c>
      <c r="L12" s="614">
        <v>1.075</v>
      </c>
      <c r="M12" s="541">
        <v>1.075</v>
      </c>
      <c r="N12" s="541">
        <v>1.07</v>
      </c>
      <c r="O12" s="541">
        <v>1.0680000000000001</v>
      </c>
      <c r="P12" s="541">
        <v>1.0620000000000001</v>
      </c>
      <c r="Q12" s="541">
        <v>1.0549999999999999</v>
      </c>
      <c r="R12" s="541">
        <v>1.05</v>
      </c>
      <c r="S12" s="542">
        <v>1.0449999999999999</v>
      </c>
      <c r="BQ12" s="608"/>
      <c r="BR12" s="608"/>
    </row>
    <row r="13" spans="5:70" ht="25.5" x14ac:dyDescent="0.25">
      <c r="F13" s="535">
        <v>1</v>
      </c>
      <c r="G13" s="563" t="s">
        <v>514</v>
      </c>
      <c r="H13" s="536" t="s">
        <v>483</v>
      </c>
      <c r="I13" s="619">
        <v>3.8</v>
      </c>
      <c r="J13" s="538">
        <v>3.68</v>
      </c>
      <c r="K13" s="538">
        <v>3.57</v>
      </c>
      <c r="L13" s="612">
        <v>3.53</v>
      </c>
      <c r="M13" s="538">
        <v>3.5</v>
      </c>
      <c r="N13" s="538">
        <v>3.46</v>
      </c>
      <c r="O13" s="538">
        <v>3.43</v>
      </c>
      <c r="P13" s="538">
        <v>3.4</v>
      </c>
      <c r="Q13" s="538">
        <v>3.36</v>
      </c>
      <c r="R13" s="538">
        <v>3.33</v>
      </c>
      <c r="S13" s="539">
        <v>3.29</v>
      </c>
      <c r="BQ13" s="609">
        <v>3.26</v>
      </c>
      <c r="BR13" s="609">
        <v>3.23</v>
      </c>
    </row>
    <row r="14" spans="5:70" x14ac:dyDescent="0.25">
      <c r="F14" s="535">
        <v>2</v>
      </c>
      <c r="G14" s="563" t="s">
        <v>484</v>
      </c>
      <c r="H14" s="536" t="s">
        <v>485</v>
      </c>
      <c r="I14" s="619">
        <v>67.709999999999994</v>
      </c>
      <c r="J14" s="544">
        <v>65.67</v>
      </c>
      <c r="K14" s="544">
        <v>63.7</v>
      </c>
      <c r="L14" s="615">
        <v>63</v>
      </c>
      <c r="M14" s="544">
        <v>62.4</v>
      </c>
      <c r="N14" s="544">
        <v>61.8</v>
      </c>
      <c r="O14" s="544">
        <v>61.1</v>
      </c>
      <c r="P14" s="544">
        <v>60.5</v>
      </c>
      <c r="Q14" s="544">
        <v>59.8</v>
      </c>
      <c r="R14" s="544">
        <v>59.2</v>
      </c>
      <c r="S14" s="545">
        <v>58.7</v>
      </c>
      <c r="BQ14" s="609">
        <v>58.1</v>
      </c>
      <c r="BR14" s="609">
        <v>57.5</v>
      </c>
    </row>
    <row r="15" spans="5:70" hidden="1" x14ac:dyDescent="0.25">
      <c r="F15" s="535"/>
      <c r="G15" s="564" t="s">
        <v>390</v>
      </c>
      <c r="H15" s="536"/>
      <c r="I15" s="619">
        <v>20.558669559999998</v>
      </c>
      <c r="J15" s="544">
        <v>19.708610290209304</v>
      </c>
      <c r="K15" s="544">
        <v>19.067062003499213</v>
      </c>
      <c r="L15" s="615">
        <v>18.76433820504592</v>
      </c>
      <c r="M15" s="544">
        <v>17.947531883106084</v>
      </c>
      <c r="N15" s="544">
        <v>17.275573483028342</v>
      </c>
      <c r="O15" s="544">
        <v>16.56446377665354</v>
      </c>
      <c r="P15" s="544">
        <v>15.655404314671683</v>
      </c>
      <c r="Q15" s="544">
        <v>14.765549709053255</v>
      </c>
      <c r="R15" s="544">
        <v>13.611837205224274</v>
      </c>
      <c r="S15" s="545">
        <v>12.066496096046512</v>
      </c>
      <c r="BQ15" s="609"/>
      <c r="BR15" s="609"/>
    </row>
    <row r="16" spans="5:70" x14ac:dyDescent="0.25">
      <c r="F16" s="535">
        <v>3</v>
      </c>
      <c r="G16" s="563" t="s">
        <v>486</v>
      </c>
      <c r="H16" s="536" t="s">
        <v>487</v>
      </c>
      <c r="I16" s="611">
        <v>65798.399999999994</v>
      </c>
      <c r="J16" s="544">
        <v>63824.4</v>
      </c>
      <c r="K16" s="544">
        <v>61909.7</v>
      </c>
      <c r="L16" s="615">
        <v>61290.6</v>
      </c>
      <c r="M16" s="544">
        <v>60677.7</v>
      </c>
      <c r="N16" s="544">
        <v>60070.9</v>
      </c>
      <c r="O16" s="544">
        <v>59470.2</v>
      </c>
      <c r="P16" s="544">
        <v>58875.5</v>
      </c>
      <c r="Q16" s="544">
        <v>58286.7</v>
      </c>
      <c r="R16" s="544">
        <v>57703.8</v>
      </c>
      <c r="S16" s="545">
        <v>57126.8</v>
      </c>
      <c r="BQ16" s="609">
        <v>56555.5</v>
      </c>
      <c r="BR16" s="609">
        <v>55990</v>
      </c>
    </row>
    <row r="17" spans="2:70" hidden="1" x14ac:dyDescent="0.25">
      <c r="F17" s="535"/>
      <c r="G17" s="564" t="s">
        <v>406</v>
      </c>
      <c r="H17" s="536"/>
      <c r="I17" s="611">
        <v>20.092487179487179</v>
      </c>
      <c r="J17" s="538">
        <v>18.008867441860467</v>
      </c>
      <c r="K17" s="538">
        <v>17.42264863278217</v>
      </c>
      <c r="L17" s="612">
        <v>17.146032845186529</v>
      </c>
      <c r="M17" s="538">
        <v>16.399670896734207</v>
      </c>
      <c r="N17" s="538">
        <v>15.785664654018237</v>
      </c>
      <c r="O17" s="538">
        <v>15.135883657278656</v>
      </c>
      <c r="P17" s="538">
        <v>14.305224817992917</v>
      </c>
      <c r="Q17" s="538">
        <v>13.492114537808821</v>
      </c>
      <c r="R17" s="538">
        <v>12.437902432463446</v>
      </c>
      <c r="S17" s="539">
        <v>11.025837209302324</v>
      </c>
      <c r="BQ17" s="608"/>
      <c r="BR17" s="608"/>
    </row>
    <row r="18" spans="2:70" x14ac:dyDescent="0.25">
      <c r="F18" s="535">
        <v>4</v>
      </c>
      <c r="G18" s="563" t="s">
        <v>488</v>
      </c>
      <c r="H18" s="536" t="s">
        <v>489</v>
      </c>
      <c r="I18" s="611">
        <v>67.8</v>
      </c>
      <c r="J18" s="544">
        <v>65.7</v>
      </c>
      <c r="K18" s="544">
        <v>63.7</v>
      </c>
      <c r="L18" s="615">
        <v>631</v>
      </c>
      <c r="M18" s="544">
        <v>62.5</v>
      </c>
      <c r="N18" s="544">
        <v>61.8</v>
      </c>
      <c r="O18" s="544">
        <v>61.2</v>
      </c>
      <c r="P18" s="544">
        <v>60.6</v>
      </c>
      <c r="Q18" s="544">
        <v>59.9</v>
      </c>
      <c r="R18" s="544">
        <v>59.3</v>
      </c>
      <c r="S18" s="545">
        <v>58.8</v>
      </c>
      <c r="BQ18" s="609">
        <v>58.2</v>
      </c>
      <c r="BR18" s="609">
        <v>57.6</v>
      </c>
    </row>
    <row r="19" spans="2:70" hidden="1" x14ac:dyDescent="0.25">
      <c r="F19" s="535"/>
      <c r="G19" s="564" t="s">
        <v>407</v>
      </c>
      <c r="H19" s="536"/>
      <c r="I19" s="611">
        <v>26.995641025641028</v>
      </c>
      <c r="J19" s="544">
        <v>22.493279069767443</v>
      </c>
      <c r="K19" s="544">
        <v>21.761085148571993</v>
      </c>
      <c r="L19" s="615">
        <v>21.415588902037932</v>
      </c>
      <c r="M19" s="544">
        <v>20.483374388949201</v>
      </c>
      <c r="N19" s="544">
        <v>19.716473648934489</v>
      </c>
      <c r="O19" s="544">
        <v>18.904889836622019</v>
      </c>
      <c r="P19" s="544">
        <v>17.867387553697057</v>
      </c>
      <c r="Q19" s="544">
        <v>16.851803619520005</v>
      </c>
      <c r="R19" s="544">
        <v>15.535080779462781</v>
      </c>
      <c r="S19" s="545">
        <v>13.77139534883721</v>
      </c>
      <c r="BQ19" s="609"/>
      <c r="BR19" s="609"/>
    </row>
    <row r="20" spans="2:70" x14ac:dyDescent="0.25">
      <c r="F20" s="535">
        <v>5</v>
      </c>
      <c r="G20" s="563" t="s">
        <v>490</v>
      </c>
      <c r="H20" s="536" t="s">
        <v>491</v>
      </c>
      <c r="I20" s="611">
        <v>2131</v>
      </c>
      <c r="J20" s="544">
        <v>2067</v>
      </c>
      <c r="K20" s="544">
        <v>2005.05</v>
      </c>
      <c r="L20" s="615">
        <v>1985</v>
      </c>
      <c r="M20" s="544">
        <v>1965.1</v>
      </c>
      <c r="N20" s="544">
        <v>1945.5</v>
      </c>
      <c r="O20" s="544">
        <v>1926.05</v>
      </c>
      <c r="P20" s="544">
        <v>1906.7</v>
      </c>
      <c r="Q20" s="544">
        <v>1887.6</v>
      </c>
      <c r="R20" s="544">
        <v>1868.7</v>
      </c>
      <c r="S20" s="545">
        <v>1850</v>
      </c>
      <c r="BQ20" s="609">
        <v>1831.5</v>
      </c>
      <c r="BR20" s="609">
        <v>1813.2</v>
      </c>
    </row>
    <row r="21" spans="2:70" hidden="1" x14ac:dyDescent="0.25">
      <c r="F21" s="535"/>
      <c r="G21" s="564" t="s">
        <v>410</v>
      </c>
      <c r="H21" s="536"/>
      <c r="I21" s="611">
        <v>649.25128205128203</v>
      </c>
      <c r="J21" s="544">
        <v>638.13399908744191</v>
      </c>
      <c r="K21" s="544">
        <v>618.78302663461625</v>
      </c>
      <c r="L21" s="615">
        <v>616.62303370735583</v>
      </c>
      <c r="M21" s="544">
        <v>601.14178236892064</v>
      </c>
      <c r="N21" s="544">
        <v>605.19660605287731</v>
      </c>
      <c r="O21" s="544">
        <v>605.50272215972007</v>
      </c>
      <c r="P21" s="544">
        <v>605.36886175321263</v>
      </c>
      <c r="Q21" s="544">
        <v>605.23366274264015</v>
      </c>
      <c r="R21" s="544">
        <v>605.09711174196184</v>
      </c>
      <c r="S21" s="545">
        <v>604.95919523127679</v>
      </c>
      <c r="BQ21" s="609"/>
      <c r="BR21" s="609"/>
    </row>
    <row r="22" spans="2:70" ht="16.5" thickBot="1" x14ac:dyDescent="0.3">
      <c r="B22" s="481"/>
      <c r="C22" s="481"/>
      <c r="D22" s="481"/>
      <c r="E22" s="155"/>
      <c r="F22" s="535">
        <v>6</v>
      </c>
      <c r="G22" s="563" t="s">
        <v>492</v>
      </c>
      <c r="H22" s="536" t="s">
        <v>493</v>
      </c>
      <c r="I22" s="611">
        <v>27229.955000000002</v>
      </c>
      <c r="J22" s="544">
        <v>26413.05</v>
      </c>
      <c r="K22" s="544">
        <v>25620.66</v>
      </c>
      <c r="L22" s="615">
        <v>25364.45</v>
      </c>
      <c r="M22" s="544">
        <v>25110.81</v>
      </c>
      <c r="N22" s="544">
        <v>24859.7</v>
      </c>
      <c r="O22" s="544">
        <v>24611.1</v>
      </c>
      <c r="P22" s="544" t="s">
        <v>644</v>
      </c>
      <c r="Q22" s="544">
        <v>24121.34</v>
      </c>
      <c r="R22" s="544">
        <v>23880.12</v>
      </c>
      <c r="S22" s="545">
        <v>23641.32</v>
      </c>
      <c r="U22" s="399">
        <f>I22*0.28</f>
        <v>7624.3874000000014</v>
      </c>
      <c r="V22" s="399">
        <f>S22*0.28</f>
        <v>6619.5696000000007</v>
      </c>
      <c r="AO22" s="400"/>
      <c r="AP22" s="400"/>
      <c r="AQ22" s="400"/>
      <c r="BQ22" s="609">
        <v>23404.91</v>
      </c>
      <c r="BR22" s="609">
        <v>23170.86</v>
      </c>
    </row>
    <row r="23" spans="2:70" hidden="1" x14ac:dyDescent="0.25">
      <c r="F23" s="535"/>
      <c r="G23" s="564" t="s">
        <v>409</v>
      </c>
      <c r="H23" s="536"/>
      <c r="I23" s="611">
        <v>14.201874871794871</v>
      </c>
      <c r="J23" s="544">
        <v>13.545987325581395</v>
      </c>
      <c r="K23" s="544">
        <v>13.10504274184073</v>
      </c>
      <c r="L23" s="615">
        <v>12.896976689662647</v>
      </c>
      <c r="M23" s="544">
        <v>12.335574950954147</v>
      </c>
      <c r="N23" s="544">
        <v>11.873729095932452</v>
      </c>
      <c r="O23" s="544">
        <v>11.384974032647436</v>
      </c>
      <c r="P23" s="544">
        <v>10.760165496232094</v>
      </c>
      <c r="Q23" s="544">
        <v>10.148556710436294</v>
      </c>
      <c r="R23" s="544">
        <v>9.3555949173871031</v>
      </c>
      <c r="S23" s="545">
        <v>8.2934616279069768</v>
      </c>
      <c r="BQ23" s="609"/>
      <c r="BR23" s="609"/>
    </row>
    <row r="24" spans="2:70" ht="70.5" customHeight="1" x14ac:dyDescent="0.25">
      <c r="F24" s="535">
        <v>7</v>
      </c>
      <c r="G24" s="563" t="s">
        <v>643</v>
      </c>
      <c r="H24" s="536" t="s">
        <v>495</v>
      </c>
      <c r="I24" s="611">
        <v>65798.399999999994</v>
      </c>
      <c r="J24" s="544">
        <v>63824.4</v>
      </c>
      <c r="K24" s="544">
        <v>61909.7</v>
      </c>
      <c r="L24" s="615">
        <v>61290.6</v>
      </c>
      <c r="M24" s="544">
        <v>60677.7</v>
      </c>
      <c r="N24" s="544">
        <v>60070.9</v>
      </c>
      <c r="O24" s="544">
        <v>59470.2</v>
      </c>
      <c r="P24" s="544">
        <v>58875.5</v>
      </c>
      <c r="Q24" s="544">
        <v>58286.7</v>
      </c>
      <c r="R24" s="544">
        <v>57703.8</v>
      </c>
      <c r="S24" s="545">
        <v>57126.8</v>
      </c>
      <c r="BQ24" s="609">
        <v>56555.5</v>
      </c>
      <c r="BR24" s="609">
        <v>55990.01</v>
      </c>
    </row>
    <row r="25" spans="2:70" ht="67.5" customHeight="1" x14ac:dyDescent="0.25">
      <c r="F25" s="535">
        <v>8</v>
      </c>
      <c r="G25" s="563" t="s">
        <v>642</v>
      </c>
      <c r="H25" s="536" t="s">
        <v>497</v>
      </c>
      <c r="I25" s="619">
        <v>34.1</v>
      </c>
      <c r="J25" s="544">
        <v>33.07</v>
      </c>
      <c r="K25" s="544">
        <v>32.08</v>
      </c>
      <c r="L25" s="615">
        <v>31.76</v>
      </c>
      <c r="M25" s="544">
        <v>31.44</v>
      </c>
      <c r="N25" s="544">
        <v>31.13</v>
      </c>
      <c r="O25" s="544">
        <v>30.82</v>
      </c>
      <c r="P25" s="544">
        <v>30.51</v>
      </c>
      <c r="Q25" s="544">
        <v>30.2</v>
      </c>
      <c r="R25" s="544">
        <v>29.9</v>
      </c>
      <c r="S25" s="545">
        <v>29.6</v>
      </c>
      <c r="AU25" s="401"/>
      <c r="BQ25" s="609">
        <v>29.3</v>
      </c>
      <c r="BR25" s="609">
        <v>29.01</v>
      </c>
    </row>
    <row r="26" spans="2:70" ht="66" customHeight="1" x14ac:dyDescent="0.25">
      <c r="F26" s="535">
        <v>9</v>
      </c>
      <c r="G26" s="563" t="s">
        <v>641</v>
      </c>
      <c r="H26" s="536" t="s">
        <v>491</v>
      </c>
      <c r="I26" s="611">
        <v>1821</v>
      </c>
      <c r="J26" s="544">
        <v>1766.3</v>
      </c>
      <c r="K26" s="544">
        <v>1713.3</v>
      </c>
      <c r="L26" s="615">
        <v>1696.2</v>
      </c>
      <c r="M26" s="544">
        <v>1679.2</v>
      </c>
      <c r="N26" s="544">
        <v>1662.4</v>
      </c>
      <c r="O26" s="544">
        <v>1645.8</v>
      </c>
      <c r="P26" s="544">
        <v>1629.4</v>
      </c>
      <c r="Q26" s="544">
        <v>1613.1</v>
      </c>
      <c r="R26" s="544">
        <v>1596.9</v>
      </c>
      <c r="S26" s="545">
        <v>1581</v>
      </c>
      <c r="BQ26" s="609">
        <v>1565.1</v>
      </c>
      <c r="BR26" s="609">
        <v>1549.5</v>
      </c>
    </row>
    <row r="27" spans="2:70" ht="81" customHeight="1" x14ac:dyDescent="0.25">
      <c r="F27" s="535">
        <v>10</v>
      </c>
      <c r="G27" s="563" t="s">
        <v>499</v>
      </c>
      <c r="H27" s="536" t="s">
        <v>491</v>
      </c>
      <c r="I27" s="611">
        <v>16071.038</v>
      </c>
      <c r="J27" s="544">
        <v>15588.906000000001</v>
      </c>
      <c r="K27" s="544">
        <v>15121.239</v>
      </c>
      <c r="L27" s="615">
        <v>14970.027</v>
      </c>
      <c r="M27" s="544">
        <v>14820.325999999999</v>
      </c>
      <c r="N27" s="544">
        <v>14672.123</v>
      </c>
      <c r="O27" s="544">
        <v>14525.402</v>
      </c>
      <c r="P27" s="544">
        <v>14380.147999999999</v>
      </c>
      <c r="Q27" s="544">
        <v>14236.3</v>
      </c>
      <c r="R27" s="544">
        <v>14093.983</v>
      </c>
      <c r="S27" s="545">
        <v>13953.043</v>
      </c>
      <c r="AO27" s="400"/>
      <c r="AP27" s="400"/>
      <c r="AQ27" s="400"/>
      <c r="BQ27" s="609">
        <v>13813.512000000001</v>
      </c>
      <c r="BR27" s="609">
        <v>13675.377</v>
      </c>
    </row>
    <row r="28" spans="2:70" x14ac:dyDescent="0.25">
      <c r="F28" s="535">
        <v>11</v>
      </c>
      <c r="G28" s="563" t="s">
        <v>500</v>
      </c>
      <c r="H28" s="536" t="s">
        <v>501</v>
      </c>
      <c r="I28" s="619">
        <v>6.32</v>
      </c>
      <c r="J28" s="538">
        <v>6.5</v>
      </c>
      <c r="K28" s="538">
        <v>6.7</v>
      </c>
      <c r="L28" s="612">
        <v>6.9</v>
      </c>
      <c r="M28" s="538">
        <v>7.11</v>
      </c>
      <c r="N28" s="538">
        <v>7.32</v>
      </c>
      <c r="O28" s="538">
        <v>7.5</v>
      </c>
      <c r="P28" s="538">
        <v>7.77</v>
      </c>
      <c r="Q28" s="538">
        <v>8</v>
      </c>
      <c r="R28" s="538">
        <v>8.24</v>
      </c>
      <c r="S28" s="539">
        <v>8.49</v>
      </c>
      <c r="AS28" s="401"/>
      <c r="AT28" s="401"/>
      <c r="AU28" s="401"/>
      <c r="BQ28" s="609">
        <v>8.74</v>
      </c>
      <c r="BR28" s="609">
        <v>9.01</v>
      </c>
    </row>
    <row r="29" spans="2:70" x14ac:dyDescent="0.25">
      <c r="F29" s="535">
        <v>12</v>
      </c>
      <c r="G29" s="563" t="s">
        <v>502</v>
      </c>
      <c r="H29" s="536" t="s">
        <v>503</v>
      </c>
      <c r="I29" s="619">
        <v>2030.5</v>
      </c>
      <c r="J29" s="544">
        <v>2070</v>
      </c>
      <c r="K29" s="544">
        <v>2210.91</v>
      </c>
      <c r="L29" s="615">
        <v>2351.8200000000002</v>
      </c>
      <c r="M29" s="544">
        <v>2490</v>
      </c>
      <c r="N29" s="544">
        <v>2600</v>
      </c>
      <c r="O29" s="544">
        <v>2730</v>
      </c>
      <c r="P29" s="544">
        <v>2850</v>
      </c>
      <c r="Q29" s="544">
        <v>2970</v>
      </c>
      <c r="R29" s="544">
        <v>3090</v>
      </c>
      <c r="S29" s="545">
        <v>3211</v>
      </c>
      <c r="AS29" s="401"/>
      <c r="AT29" s="401"/>
      <c r="AU29" s="401"/>
      <c r="BQ29" s="609">
        <v>3330</v>
      </c>
      <c r="BR29" s="609">
        <v>3450</v>
      </c>
    </row>
    <row r="30" spans="2:70" x14ac:dyDescent="0.25">
      <c r="F30" s="535">
        <v>13</v>
      </c>
      <c r="G30" s="563" t="s">
        <v>504</v>
      </c>
      <c r="H30" s="536" t="s">
        <v>505</v>
      </c>
      <c r="I30" s="619">
        <v>15.89</v>
      </c>
      <c r="J30" s="546">
        <v>16</v>
      </c>
      <c r="K30" s="546">
        <v>17.149999999999999</v>
      </c>
      <c r="L30" s="616">
        <v>18.399999999999999</v>
      </c>
      <c r="M30" s="546">
        <v>19.5</v>
      </c>
      <c r="N30" s="546">
        <v>20.7</v>
      </c>
      <c r="O30" s="546">
        <v>21.8</v>
      </c>
      <c r="P30" s="546">
        <v>23.01</v>
      </c>
      <c r="Q30" s="546">
        <v>24.16</v>
      </c>
      <c r="R30" s="546">
        <v>25.3</v>
      </c>
      <c r="S30" s="547">
        <v>26.5</v>
      </c>
      <c r="AS30" s="401"/>
      <c r="AT30" s="401"/>
      <c r="AU30" s="401"/>
      <c r="BQ30" s="609">
        <v>27.6</v>
      </c>
      <c r="BR30" s="609">
        <v>28.7</v>
      </c>
    </row>
    <row r="31" spans="2:70" ht="25.5" x14ac:dyDescent="0.25">
      <c r="E31" s="395"/>
      <c r="F31" s="535">
        <v>14</v>
      </c>
      <c r="G31" s="563" t="s">
        <v>506</v>
      </c>
      <c r="H31" s="536" t="s">
        <v>507</v>
      </c>
      <c r="I31" s="619">
        <v>4799.1499999999996</v>
      </c>
      <c r="J31" s="536">
        <v>4900.45</v>
      </c>
      <c r="K31" s="536">
        <v>5100.75</v>
      </c>
      <c r="L31" s="617">
        <v>5250.05</v>
      </c>
      <c r="M31" s="536">
        <v>5400.35</v>
      </c>
      <c r="N31" s="536">
        <v>5550.65</v>
      </c>
      <c r="O31" s="536">
        <v>5700.9</v>
      </c>
      <c r="P31" s="536">
        <v>5850.2</v>
      </c>
      <c r="Q31" s="536">
        <v>6001.55</v>
      </c>
      <c r="R31" s="536">
        <v>6151.85</v>
      </c>
      <c r="S31" s="548">
        <v>6302.15</v>
      </c>
      <c r="AS31" s="401"/>
      <c r="AT31" s="401"/>
      <c r="AU31" s="401"/>
      <c r="BQ31" s="609">
        <v>6450.45</v>
      </c>
      <c r="BR31" s="609">
        <v>6600.75</v>
      </c>
    </row>
    <row r="32" spans="2:70" ht="65.25" customHeight="1" x14ac:dyDescent="0.25">
      <c r="F32" s="535">
        <v>15</v>
      </c>
      <c r="G32" s="563" t="s">
        <v>508</v>
      </c>
      <c r="H32" s="536" t="s">
        <v>509</v>
      </c>
      <c r="I32" s="611">
        <v>0</v>
      </c>
      <c r="J32" s="536">
        <v>0</v>
      </c>
      <c r="K32" s="536">
        <v>0</v>
      </c>
      <c r="L32" s="617">
        <v>0</v>
      </c>
      <c r="M32" s="536">
        <v>0</v>
      </c>
      <c r="N32" s="536">
        <v>0</v>
      </c>
      <c r="O32" s="536">
        <v>0</v>
      </c>
      <c r="P32" s="536">
        <v>0</v>
      </c>
      <c r="Q32" s="536">
        <v>0</v>
      </c>
      <c r="R32" s="536">
        <v>0</v>
      </c>
      <c r="S32" s="548">
        <v>0</v>
      </c>
      <c r="BQ32" s="609">
        <v>0</v>
      </c>
      <c r="BR32" s="609">
        <v>0</v>
      </c>
    </row>
    <row r="33" spans="1:70" ht="48.75" customHeight="1" x14ac:dyDescent="0.25">
      <c r="F33" s="535">
        <v>16</v>
      </c>
      <c r="G33" s="563" t="s">
        <v>510</v>
      </c>
      <c r="H33" s="536" t="s">
        <v>509</v>
      </c>
      <c r="I33" s="611">
        <v>9750</v>
      </c>
      <c r="J33" s="544">
        <v>9457.5</v>
      </c>
      <c r="K33" s="544">
        <v>9173.77</v>
      </c>
      <c r="L33" s="615">
        <v>9082</v>
      </c>
      <c r="M33" s="544">
        <v>8991.2000000000007</v>
      </c>
      <c r="N33" s="544">
        <v>8901.2000000000007</v>
      </c>
      <c r="O33" s="544">
        <v>8812.2000000000007</v>
      </c>
      <c r="P33" s="544">
        <v>8724.16</v>
      </c>
      <c r="Q33" s="544">
        <v>8636.91</v>
      </c>
      <c r="R33" s="544">
        <v>8550.5400000000009</v>
      </c>
      <c r="S33" s="545">
        <v>8465.0400000000009</v>
      </c>
      <c r="BQ33" s="609">
        <v>8380.39</v>
      </c>
      <c r="BR33" s="609">
        <v>8296.58</v>
      </c>
    </row>
    <row r="34" spans="1:70" ht="60" customHeight="1" x14ac:dyDescent="0.25">
      <c r="F34" s="535">
        <v>17</v>
      </c>
      <c r="G34" s="563" t="s">
        <v>511</v>
      </c>
      <c r="H34" s="536" t="s">
        <v>536</v>
      </c>
      <c r="I34" s="620">
        <v>3044</v>
      </c>
      <c r="J34" s="546">
        <v>2952.6</v>
      </c>
      <c r="K34" s="546">
        <v>2864</v>
      </c>
      <c r="L34" s="616">
        <v>2835.4</v>
      </c>
      <c r="M34" s="546">
        <v>2806.5</v>
      </c>
      <c r="N34" s="546">
        <v>2778.9</v>
      </c>
      <c r="O34" s="546">
        <v>2750.5</v>
      </c>
      <c r="P34" s="546">
        <v>2723.6</v>
      </c>
      <c r="Q34" s="546">
        <v>2696.3</v>
      </c>
      <c r="R34" s="546">
        <v>2669.3</v>
      </c>
      <c r="S34" s="546">
        <v>2642.6</v>
      </c>
      <c r="BQ34" s="609">
        <v>2616.1999999999998</v>
      </c>
      <c r="BR34" s="609">
        <v>2590.1</v>
      </c>
    </row>
    <row r="35" spans="1:70" ht="69" customHeight="1" x14ac:dyDescent="0.25">
      <c r="F35" s="535">
        <v>18</v>
      </c>
      <c r="G35" s="563" t="s">
        <v>512</v>
      </c>
      <c r="H35" s="536" t="s">
        <v>536</v>
      </c>
      <c r="I35" s="620">
        <v>2344</v>
      </c>
      <c r="J35" s="546">
        <v>2273.6</v>
      </c>
      <c r="K35" s="546">
        <v>2205.4</v>
      </c>
      <c r="L35" s="616">
        <v>2183.4</v>
      </c>
      <c r="M35" s="546">
        <v>2161.5</v>
      </c>
      <c r="N35" s="546">
        <v>2139.9</v>
      </c>
      <c r="O35" s="546">
        <v>2118.5</v>
      </c>
      <c r="P35" s="546">
        <v>2097.3000000000002</v>
      </c>
      <c r="Q35" s="546">
        <v>2076.3000000000002</v>
      </c>
      <c r="R35" s="546">
        <v>2055.5</v>
      </c>
      <c r="S35" s="546">
        <v>2035</v>
      </c>
      <c r="U35" s="399" t="s">
        <v>376</v>
      </c>
      <c r="BQ35" s="609">
        <v>2014.6</v>
      </c>
      <c r="BR35" s="609">
        <v>1994.5</v>
      </c>
    </row>
    <row r="36" spans="1:70" ht="38.25" x14ac:dyDescent="0.25">
      <c r="C36" s="391">
        <v>576</v>
      </c>
      <c r="D36" s="391">
        <v>3730</v>
      </c>
      <c r="E36" s="391">
        <v>6436</v>
      </c>
      <c r="F36" s="535">
        <v>19</v>
      </c>
      <c r="G36" s="563" t="s">
        <v>516</v>
      </c>
      <c r="H36" s="536" t="s">
        <v>517</v>
      </c>
      <c r="I36" s="611">
        <v>8887.6640000000007</v>
      </c>
      <c r="J36" s="544">
        <v>8621.0339999999997</v>
      </c>
      <c r="K36" s="544">
        <v>8362.4030000000002</v>
      </c>
      <c r="L36" s="615">
        <v>8278.7790000000005</v>
      </c>
      <c r="M36" s="544">
        <v>8195.991</v>
      </c>
      <c r="N36" s="544">
        <v>8114.0309999999999</v>
      </c>
      <c r="O36" s="544">
        <v>8032.8909999999996</v>
      </c>
      <c r="P36" s="544">
        <v>7952.5619999999999</v>
      </c>
      <c r="Q36" s="544">
        <v>7873.0360000000001</v>
      </c>
      <c r="R36" s="544">
        <v>7794.3050000000003</v>
      </c>
      <c r="S36" s="545">
        <v>7716.3620000000001</v>
      </c>
      <c r="BQ36" s="609">
        <v>7639.1980000000003</v>
      </c>
      <c r="BR36" s="609">
        <v>7562.8059999999996</v>
      </c>
    </row>
    <row r="37" spans="1:70" ht="38.25" x14ac:dyDescent="0.25">
      <c r="C37" s="478">
        <v>13000</v>
      </c>
      <c r="D37" s="478">
        <v>15600</v>
      </c>
      <c r="E37" s="478">
        <v>20600</v>
      </c>
      <c r="F37" s="535">
        <v>20</v>
      </c>
      <c r="G37" s="563" t="s">
        <v>518</v>
      </c>
      <c r="H37" s="536" t="s">
        <v>519</v>
      </c>
      <c r="I37" s="611">
        <v>65538.3</v>
      </c>
      <c r="J37" s="544">
        <v>63572.15</v>
      </c>
      <c r="K37" s="544">
        <v>63572.15</v>
      </c>
      <c r="L37" s="615">
        <v>61048.33</v>
      </c>
      <c r="M37" s="544">
        <v>60437.845999999998</v>
      </c>
      <c r="N37" s="544">
        <v>59833.468000000001</v>
      </c>
      <c r="O37" s="544">
        <v>59235.133000000002</v>
      </c>
      <c r="P37" s="544">
        <v>58642.781999999999</v>
      </c>
      <c r="Q37" s="544">
        <v>58056.353999999999</v>
      </c>
      <c r="R37" s="544">
        <v>57475.79</v>
      </c>
      <c r="S37" s="544">
        <v>56901.031999999999</v>
      </c>
      <c r="BQ37" s="609">
        <v>56332.021999999997</v>
      </c>
      <c r="BR37" s="609">
        <v>55768.701999999997</v>
      </c>
    </row>
    <row r="38" spans="1:70" ht="38.25" x14ac:dyDescent="0.25">
      <c r="A38" s="391">
        <v>100200</v>
      </c>
      <c r="B38" s="391">
        <v>100200</v>
      </c>
      <c r="C38" s="391">
        <v>100200</v>
      </c>
      <c r="D38" s="478">
        <v>17800</v>
      </c>
      <c r="E38" s="478">
        <v>15500</v>
      </c>
      <c r="F38" s="535">
        <v>21</v>
      </c>
      <c r="G38" s="563" t="s">
        <v>520</v>
      </c>
      <c r="H38" s="536" t="s">
        <v>517</v>
      </c>
      <c r="I38" s="611">
        <v>2215.8290000000002</v>
      </c>
      <c r="J38" s="546">
        <v>2149.3539999999998</v>
      </c>
      <c r="K38" s="546">
        <v>2149.3539999999998</v>
      </c>
      <c r="L38" s="616">
        <v>2064.0239999999999</v>
      </c>
      <c r="M38" s="546">
        <v>2043.384</v>
      </c>
      <c r="N38" s="546">
        <v>2022.95</v>
      </c>
      <c r="O38" s="546">
        <v>2002.721</v>
      </c>
      <c r="P38" s="546">
        <v>1982.693</v>
      </c>
      <c r="Q38" s="546">
        <v>1962.866</v>
      </c>
      <c r="R38" s="546">
        <v>1943.2370000000001</v>
      </c>
      <c r="S38" s="547">
        <v>1923.8050000000001</v>
      </c>
      <c r="BQ38" s="609">
        <v>1904.566</v>
      </c>
      <c r="BR38" s="609">
        <v>1885.521</v>
      </c>
    </row>
    <row r="39" spans="1:70" ht="38.25" x14ac:dyDescent="0.25">
      <c r="C39" s="391" t="e">
        <f>#REF!+#REF!</f>
        <v>#REF!</v>
      </c>
      <c r="D39" s="391" t="e">
        <f>#REF!+#REF!</f>
        <v>#REF!</v>
      </c>
      <c r="E39" s="391">
        <f>I39+I37</f>
        <v>72390.3</v>
      </c>
      <c r="F39" s="535">
        <v>22</v>
      </c>
      <c r="G39" s="563" t="s">
        <v>521</v>
      </c>
      <c r="H39" s="536" t="s">
        <v>519</v>
      </c>
      <c r="I39" s="611">
        <v>6852</v>
      </c>
      <c r="J39" s="546">
        <v>6646.4</v>
      </c>
      <c r="K39" s="546">
        <v>6646.4</v>
      </c>
      <c r="L39" s="616">
        <v>6382.5</v>
      </c>
      <c r="M39" s="546">
        <v>6318.7</v>
      </c>
      <c r="N39" s="546">
        <v>6255.5</v>
      </c>
      <c r="O39" s="546">
        <v>6193</v>
      </c>
      <c r="P39" s="546">
        <v>6131</v>
      </c>
      <c r="Q39" s="546">
        <v>6069.69</v>
      </c>
      <c r="R39" s="546">
        <v>6008.99</v>
      </c>
      <c r="S39" s="547">
        <v>5948.9</v>
      </c>
      <c r="T39" s="520"/>
      <c r="BQ39" s="609">
        <v>5889.4</v>
      </c>
      <c r="BR39" s="609">
        <v>5830.5</v>
      </c>
    </row>
    <row r="40" spans="1:70" ht="38.25" x14ac:dyDescent="0.25">
      <c r="B40" s="391" t="e">
        <f>#REF!+#REF!</f>
        <v>#REF!</v>
      </c>
      <c r="C40" s="391" t="e">
        <f>#REF!+#REF!</f>
        <v>#REF!</v>
      </c>
      <c r="D40" s="391">
        <f>I40+I42</f>
        <v>30193</v>
      </c>
      <c r="F40" s="535">
        <v>23</v>
      </c>
      <c r="G40" s="563" t="s">
        <v>522</v>
      </c>
      <c r="H40" s="536" t="s">
        <v>559</v>
      </c>
      <c r="I40" s="611">
        <v>30193</v>
      </c>
      <c r="J40" s="549">
        <v>29287.21</v>
      </c>
      <c r="K40" s="536">
        <v>29287.21</v>
      </c>
      <c r="L40" s="617">
        <v>28124.5</v>
      </c>
      <c r="M40" s="536">
        <v>27843.26</v>
      </c>
      <c r="N40" s="536">
        <v>27564.83</v>
      </c>
      <c r="O40" s="536">
        <v>27289.18</v>
      </c>
      <c r="P40" s="536">
        <v>27016.2</v>
      </c>
      <c r="Q40" s="536">
        <v>27746.03</v>
      </c>
      <c r="R40" s="536">
        <v>26478.57</v>
      </c>
      <c r="S40" s="548">
        <v>26213.79</v>
      </c>
      <c r="BQ40" s="609">
        <v>25951.65</v>
      </c>
      <c r="BR40" s="609">
        <v>25692.13</v>
      </c>
    </row>
    <row r="41" spans="1:70" ht="51.75" thickBot="1" x14ac:dyDescent="0.3">
      <c r="B41" s="391" t="e">
        <f>#REF!+#REF!</f>
        <v>#REF!</v>
      </c>
      <c r="C41" s="391" t="e">
        <f>#REF!+#REF!</f>
        <v>#REF!</v>
      </c>
      <c r="D41" s="391">
        <f>I41+I43</f>
        <v>1421</v>
      </c>
      <c r="E41" s="155"/>
      <c r="F41" s="535">
        <v>24</v>
      </c>
      <c r="G41" s="563" t="s">
        <v>524</v>
      </c>
      <c r="H41" s="536" t="s">
        <v>525</v>
      </c>
      <c r="I41" s="611">
        <v>1421</v>
      </c>
      <c r="J41" s="549">
        <v>1421</v>
      </c>
      <c r="K41" s="549">
        <v>1421</v>
      </c>
      <c r="L41" s="618">
        <v>1421</v>
      </c>
      <c r="M41" s="549">
        <v>1421</v>
      </c>
      <c r="N41" s="549">
        <v>1421</v>
      </c>
      <c r="O41" s="549">
        <v>1421</v>
      </c>
      <c r="P41" s="549">
        <v>1421</v>
      </c>
      <c r="Q41" s="549">
        <v>1421</v>
      </c>
      <c r="R41" s="549">
        <v>1421</v>
      </c>
      <c r="S41" s="549">
        <v>1421</v>
      </c>
      <c r="BQ41" s="609">
        <v>1421</v>
      </c>
      <c r="BR41" s="609">
        <v>1421</v>
      </c>
    </row>
    <row r="42" spans="1:70" ht="50.25" customHeight="1" x14ac:dyDescent="0.25">
      <c r="B42" s="391">
        <v>3508</v>
      </c>
      <c r="C42" s="391">
        <v>3574</v>
      </c>
      <c r="D42" s="479">
        <v>3544</v>
      </c>
      <c r="F42" s="535">
        <v>25</v>
      </c>
      <c r="G42" s="563" t="s">
        <v>526</v>
      </c>
      <c r="H42" s="536" t="s">
        <v>523</v>
      </c>
      <c r="I42" s="611">
        <v>0</v>
      </c>
      <c r="J42" s="546">
        <v>0</v>
      </c>
      <c r="K42" s="546">
        <v>0</v>
      </c>
      <c r="L42" s="616">
        <v>0</v>
      </c>
      <c r="M42" s="546">
        <v>0</v>
      </c>
      <c r="N42" s="546">
        <v>0</v>
      </c>
      <c r="O42" s="546">
        <v>0</v>
      </c>
      <c r="P42" s="546">
        <v>0</v>
      </c>
      <c r="Q42" s="546">
        <v>0</v>
      </c>
      <c r="R42" s="546">
        <v>0</v>
      </c>
      <c r="S42" s="547">
        <v>0</v>
      </c>
      <c r="BQ42" s="609">
        <v>0</v>
      </c>
      <c r="BR42" s="609">
        <v>0</v>
      </c>
    </row>
    <row r="43" spans="1:70" ht="51.75" thickBot="1" x14ac:dyDescent="0.3">
      <c r="A43" s="391">
        <v>220</v>
      </c>
      <c r="B43" s="391">
        <v>200</v>
      </c>
      <c r="E43" s="523"/>
      <c r="F43" s="535">
        <v>26</v>
      </c>
      <c r="G43" s="563" t="s">
        <v>527</v>
      </c>
      <c r="H43" s="536" t="s">
        <v>525</v>
      </c>
      <c r="I43" s="611">
        <v>0</v>
      </c>
      <c r="J43" s="549">
        <v>0</v>
      </c>
      <c r="K43" s="549">
        <v>0</v>
      </c>
      <c r="L43" s="618">
        <v>0</v>
      </c>
      <c r="M43" s="549">
        <v>0</v>
      </c>
      <c r="N43" s="549">
        <v>0</v>
      </c>
      <c r="O43" s="549">
        <v>0</v>
      </c>
      <c r="P43" s="549">
        <v>0</v>
      </c>
      <c r="Q43" s="549">
        <v>0</v>
      </c>
      <c r="R43" s="549">
        <v>0</v>
      </c>
      <c r="S43" s="550">
        <v>0</v>
      </c>
      <c r="BQ43" s="609">
        <v>0</v>
      </c>
      <c r="BR43" s="609">
        <v>0</v>
      </c>
    </row>
    <row r="44" spans="1:70" ht="47.25" customHeight="1" thickBot="1" x14ac:dyDescent="0.3">
      <c r="E44" s="155"/>
      <c r="F44" s="535">
        <v>27</v>
      </c>
      <c r="G44" s="563" t="s">
        <v>528</v>
      </c>
      <c r="H44" s="536" t="s">
        <v>529</v>
      </c>
      <c r="I44" s="611">
        <v>2388596</v>
      </c>
      <c r="J44" s="536">
        <v>2316938</v>
      </c>
      <c r="K44" s="536">
        <v>2316938</v>
      </c>
      <c r="L44" s="617">
        <v>2224955</v>
      </c>
      <c r="M44" s="536">
        <v>2202706</v>
      </c>
      <c r="N44" s="536">
        <v>2180679</v>
      </c>
      <c r="O44" s="536">
        <v>2158872</v>
      </c>
      <c r="P44" s="536">
        <v>2137283</v>
      </c>
      <c r="Q44" s="536">
        <v>2115910</v>
      </c>
      <c r="R44" s="536">
        <v>2094751</v>
      </c>
      <c r="S44" s="548">
        <v>2073803</v>
      </c>
      <c r="BQ44" s="609">
        <v>2053065</v>
      </c>
      <c r="BR44" s="609">
        <v>2032534</v>
      </c>
    </row>
    <row r="45" spans="1:70" ht="56.25" customHeight="1" x14ac:dyDescent="0.25">
      <c r="F45" s="535">
        <v>28</v>
      </c>
      <c r="G45" s="563" t="s">
        <v>530</v>
      </c>
      <c r="H45" s="642" t="s">
        <v>525</v>
      </c>
      <c r="I45" s="611">
        <v>1421</v>
      </c>
      <c r="J45" s="643">
        <v>1421</v>
      </c>
      <c r="K45" s="643">
        <v>1421</v>
      </c>
      <c r="L45" s="643">
        <v>1421</v>
      </c>
      <c r="M45" s="643">
        <v>1421</v>
      </c>
      <c r="N45" s="643">
        <v>1421</v>
      </c>
      <c r="O45" s="643">
        <v>1421</v>
      </c>
      <c r="P45" s="643">
        <v>1421</v>
      </c>
      <c r="Q45" s="643">
        <v>1421</v>
      </c>
      <c r="R45" s="643">
        <v>1421</v>
      </c>
      <c r="S45" s="643">
        <v>1421</v>
      </c>
      <c r="BQ45" s="609">
        <v>1421</v>
      </c>
      <c r="BR45" s="609">
        <v>1421</v>
      </c>
    </row>
    <row r="46" spans="1:70" ht="38.25" x14ac:dyDescent="0.25">
      <c r="F46" s="535">
        <v>29</v>
      </c>
      <c r="G46" s="563" t="s">
        <v>531</v>
      </c>
      <c r="H46" s="536" t="s">
        <v>529</v>
      </c>
      <c r="I46" s="611">
        <v>0</v>
      </c>
      <c r="J46" s="536">
        <v>0</v>
      </c>
      <c r="K46" s="536">
        <v>0</v>
      </c>
      <c r="L46" s="617">
        <v>0</v>
      </c>
      <c r="M46" s="536">
        <v>0</v>
      </c>
      <c r="N46" s="536">
        <v>0</v>
      </c>
      <c r="O46" s="536">
        <v>0</v>
      </c>
      <c r="P46" s="536">
        <v>0</v>
      </c>
      <c r="Q46" s="536">
        <v>0</v>
      </c>
      <c r="R46" s="536">
        <v>0</v>
      </c>
      <c r="S46" s="548">
        <v>0</v>
      </c>
      <c r="BQ46" s="609">
        <v>0</v>
      </c>
      <c r="BR46" s="609">
        <v>0</v>
      </c>
    </row>
    <row r="47" spans="1:70" ht="51" x14ac:dyDescent="0.25">
      <c r="F47" s="535">
        <v>30</v>
      </c>
      <c r="G47" s="563" t="s">
        <v>532</v>
      </c>
      <c r="H47" s="536" t="s">
        <v>525</v>
      </c>
      <c r="I47" s="611">
        <v>0</v>
      </c>
      <c r="J47" s="536">
        <v>0</v>
      </c>
      <c r="K47" s="536">
        <v>0</v>
      </c>
      <c r="L47" s="617">
        <v>0</v>
      </c>
      <c r="M47" s="536">
        <v>0</v>
      </c>
      <c r="N47" s="536">
        <v>0</v>
      </c>
      <c r="O47" s="536">
        <v>0</v>
      </c>
      <c r="P47" s="536">
        <v>0</v>
      </c>
      <c r="Q47" s="536">
        <v>0</v>
      </c>
      <c r="R47" s="536">
        <v>0</v>
      </c>
      <c r="S47" s="548">
        <v>0</v>
      </c>
      <c r="BQ47" s="609">
        <v>0</v>
      </c>
      <c r="BR47" s="609">
        <v>0</v>
      </c>
    </row>
    <row r="48" spans="1:70" ht="25.5" x14ac:dyDescent="0.25">
      <c r="B48" s="478">
        <v>95.742000000000004</v>
      </c>
      <c r="C48" s="478">
        <v>87.350999999999999</v>
      </c>
      <c r="D48" s="478">
        <v>101.505</v>
      </c>
      <c r="F48" s="535">
        <v>31</v>
      </c>
      <c r="G48" s="563" t="s">
        <v>533</v>
      </c>
      <c r="H48" s="536" t="s">
        <v>491</v>
      </c>
      <c r="I48" s="611">
        <v>182.751</v>
      </c>
      <c r="J48" s="544">
        <v>177.268</v>
      </c>
      <c r="K48" s="544">
        <v>177.268</v>
      </c>
      <c r="L48" s="615">
        <v>170.23</v>
      </c>
      <c r="M48" s="544">
        <v>168.52799999999999</v>
      </c>
      <c r="N48" s="544">
        <v>166.84299999999999</v>
      </c>
      <c r="O48" s="544">
        <v>165.17400000000001</v>
      </c>
      <c r="P48" s="544">
        <v>163.52000000000001</v>
      </c>
      <c r="Q48" s="544">
        <v>161.887</v>
      </c>
      <c r="R48" s="544">
        <v>160.268</v>
      </c>
      <c r="S48" s="545">
        <v>158.66</v>
      </c>
      <c r="AO48" s="400"/>
      <c r="AP48" s="400"/>
      <c r="AQ48" s="400"/>
      <c r="BQ48" s="609">
        <v>157.078</v>
      </c>
      <c r="BR48" s="609">
        <v>155.50700000000001</v>
      </c>
    </row>
    <row r="49" spans="2:70" ht="51" x14ac:dyDescent="0.25">
      <c r="B49" s="478">
        <v>66.403000000000006</v>
      </c>
      <c r="C49" s="478">
        <v>57.945</v>
      </c>
      <c r="D49" s="478">
        <v>72.244</v>
      </c>
      <c r="F49" s="535">
        <v>32</v>
      </c>
      <c r="G49" s="563" t="s">
        <v>534</v>
      </c>
      <c r="H49" s="536" t="s">
        <v>491</v>
      </c>
      <c r="I49" s="611">
        <v>182.751</v>
      </c>
      <c r="J49" s="544">
        <v>177.268</v>
      </c>
      <c r="K49" s="544">
        <v>177.268</v>
      </c>
      <c r="L49" s="615">
        <v>170.23</v>
      </c>
      <c r="M49" s="544">
        <v>168.52799999999999</v>
      </c>
      <c r="N49" s="544">
        <v>166.84299999999999</v>
      </c>
      <c r="O49" s="544">
        <v>165.17400000000001</v>
      </c>
      <c r="P49" s="544">
        <v>163.52000000000001</v>
      </c>
      <c r="Q49" s="544">
        <v>161.887</v>
      </c>
      <c r="R49" s="544">
        <v>160.268</v>
      </c>
      <c r="S49" s="545">
        <v>158.66</v>
      </c>
      <c r="AO49" s="400"/>
      <c r="AP49" s="400"/>
      <c r="AQ49" s="400"/>
      <c r="BQ49" s="609">
        <v>157.078</v>
      </c>
      <c r="BR49" s="609">
        <v>155.50800000000001</v>
      </c>
    </row>
    <row r="50" spans="2:70" x14ac:dyDescent="0.25">
      <c r="F50" s="535">
        <v>33</v>
      </c>
      <c r="G50" s="563" t="s">
        <v>535</v>
      </c>
      <c r="H50" s="536" t="s">
        <v>536</v>
      </c>
      <c r="I50" s="611">
        <v>561290</v>
      </c>
      <c r="J50" s="549">
        <v>479646</v>
      </c>
      <c r="K50" s="549">
        <v>437335</v>
      </c>
      <c r="L50" s="618">
        <v>455535</v>
      </c>
      <c r="M50" s="549">
        <v>451372</v>
      </c>
      <c r="N50" s="549">
        <v>462738</v>
      </c>
      <c r="O50" s="549">
        <v>470322</v>
      </c>
      <c r="P50" s="549">
        <v>468894</v>
      </c>
      <c r="Q50" s="549">
        <v>471900</v>
      </c>
      <c r="R50" s="549">
        <v>520305</v>
      </c>
      <c r="S50" s="550">
        <v>498624</v>
      </c>
      <c r="BQ50" s="609">
        <v>481322</v>
      </c>
      <c r="BR50" s="609">
        <v>494700</v>
      </c>
    </row>
    <row r="51" spans="2:70" ht="25.5" x14ac:dyDescent="0.25">
      <c r="F51" s="535">
        <v>34</v>
      </c>
      <c r="G51" s="563" t="s">
        <v>537</v>
      </c>
      <c r="H51" s="536" t="s">
        <v>536</v>
      </c>
      <c r="I51" s="611">
        <v>36504</v>
      </c>
      <c r="J51" s="544">
        <v>35408</v>
      </c>
      <c r="K51" s="544">
        <v>35408</v>
      </c>
      <c r="L51" s="615">
        <v>34003</v>
      </c>
      <c r="M51" s="544">
        <v>33663</v>
      </c>
      <c r="N51" s="544">
        <v>33326</v>
      </c>
      <c r="O51" s="544">
        <v>32993</v>
      </c>
      <c r="P51" s="544">
        <v>32663.200000000001</v>
      </c>
      <c r="Q51" s="544">
        <v>32336.400000000001</v>
      </c>
      <c r="R51" s="544">
        <v>32013.07</v>
      </c>
      <c r="S51" s="545">
        <v>31692.9</v>
      </c>
      <c r="BQ51" s="609">
        <v>31376</v>
      </c>
      <c r="BR51" s="609">
        <v>31062.2</v>
      </c>
    </row>
    <row r="52" spans="2:70" ht="56.25" customHeight="1" x14ac:dyDescent="0.25">
      <c r="F52" s="535">
        <v>35</v>
      </c>
      <c r="G52" s="563" t="s">
        <v>538</v>
      </c>
      <c r="H52" s="536" t="s">
        <v>536</v>
      </c>
      <c r="I52" s="611">
        <v>0</v>
      </c>
      <c r="J52" s="536">
        <v>0</v>
      </c>
      <c r="K52" s="536">
        <v>0</v>
      </c>
      <c r="L52" s="617">
        <v>0</v>
      </c>
      <c r="M52" s="536">
        <v>0</v>
      </c>
      <c r="N52" s="536">
        <v>0</v>
      </c>
      <c r="O52" s="536">
        <v>0</v>
      </c>
      <c r="P52" s="536">
        <v>0</v>
      </c>
      <c r="Q52" s="536">
        <v>0</v>
      </c>
      <c r="R52" s="536">
        <v>0</v>
      </c>
      <c r="S52" s="548">
        <v>0</v>
      </c>
      <c r="BQ52" s="609">
        <v>0</v>
      </c>
      <c r="BR52" s="609">
        <v>0</v>
      </c>
    </row>
    <row r="53" spans="2:70" ht="37.5" customHeight="1" x14ac:dyDescent="0.25">
      <c r="F53" s="535">
        <v>36</v>
      </c>
      <c r="G53" s="563" t="s">
        <v>381</v>
      </c>
      <c r="H53" s="536" t="s">
        <v>540</v>
      </c>
      <c r="I53" s="611">
        <v>35</v>
      </c>
      <c r="J53" s="536">
        <v>35</v>
      </c>
      <c r="K53" s="536">
        <v>35</v>
      </c>
      <c r="L53" s="617">
        <v>35</v>
      </c>
      <c r="M53" s="536">
        <v>35</v>
      </c>
      <c r="N53" s="536">
        <v>35</v>
      </c>
      <c r="O53" s="536">
        <v>35</v>
      </c>
      <c r="P53" s="536">
        <v>35</v>
      </c>
      <c r="Q53" s="536">
        <v>35</v>
      </c>
      <c r="R53" s="536">
        <v>35</v>
      </c>
      <c r="S53" s="548">
        <v>35</v>
      </c>
      <c r="BQ53" s="609">
        <v>35</v>
      </c>
      <c r="BR53" s="609">
        <v>35</v>
      </c>
    </row>
    <row r="54" spans="2:70" ht="58.5" customHeight="1" x14ac:dyDescent="0.25">
      <c r="F54" s="535">
        <v>37</v>
      </c>
      <c r="G54" s="563" t="s">
        <v>541</v>
      </c>
      <c r="H54" s="536" t="s">
        <v>540</v>
      </c>
      <c r="I54" s="611">
        <v>35</v>
      </c>
      <c r="J54" s="536">
        <v>35</v>
      </c>
      <c r="K54" s="536">
        <v>35</v>
      </c>
      <c r="L54" s="617">
        <v>35</v>
      </c>
      <c r="M54" s="536">
        <v>35</v>
      </c>
      <c r="N54" s="536">
        <v>35</v>
      </c>
      <c r="O54" s="536">
        <v>35</v>
      </c>
      <c r="P54" s="536">
        <v>35</v>
      </c>
      <c r="Q54" s="536">
        <v>35</v>
      </c>
      <c r="R54" s="536">
        <v>35</v>
      </c>
      <c r="S54" s="548">
        <v>35</v>
      </c>
      <c r="BQ54" s="609">
        <v>35</v>
      </c>
      <c r="BR54" s="609">
        <v>35</v>
      </c>
    </row>
    <row r="55" spans="2:70" ht="52.5" customHeight="1" x14ac:dyDescent="0.25">
      <c r="F55" s="535">
        <v>38</v>
      </c>
      <c r="G55" s="563" t="s">
        <v>542</v>
      </c>
      <c r="H55" s="536" t="s">
        <v>540</v>
      </c>
      <c r="I55" s="611">
        <v>0</v>
      </c>
      <c r="J55" s="533">
        <v>0</v>
      </c>
      <c r="K55" s="533">
        <v>0</v>
      </c>
      <c r="L55" s="618">
        <v>0</v>
      </c>
      <c r="M55" s="549">
        <v>0</v>
      </c>
      <c r="N55" s="549">
        <v>0</v>
      </c>
      <c r="O55" s="549">
        <v>0</v>
      </c>
      <c r="P55" s="549">
        <v>0</v>
      </c>
      <c r="Q55" s="549">
        <v>0</v>
      </c>
      <c r="R55" s="549">
        <v>0</v>
      </c>
      <c r="S55" s="550">
        <v>0</v>
      </c>
      <c r="BQ55" s="609">
        <v>0</v>
      </c>
      <c r="BR55" s="609">
        <v>0</v>
      </c>
    </row>
    <row r="56" spans="2:70" ht="25.5" x14ac:dyDescent="0.25">
      <c r="F56" s="535">
        <v>39</v>
      </c>
      <c r="G56" s="563" t="s">
        <v>543</v>
      </c>
      <c r="H56" s="536" t="s">
        <v>540</v>
      </c>
      <c r="I56" s="611">
        <v>41</v>
      </c>
      <c r="J56" s="536">
        <v>41</v>
      </c>
      <c r="K56" s="536">
        <v>41</v>
      </c>
      <c r="L56" s="617">
        <v>41</v>
      </c>
      <c r="M56" s="536">
        <v>41</v>
      </c>
      <c r="N56" s="536">
        <v>41</v>
      </c>
      <c r="O56" s="536">
        <v>41</v>
      </c>
      <c r="P56" s="536">
        <v>41</v>
      </c>
      <c r="Q56" s="536">
        <v>41</v>
      </c>
      <c r="R56" s="536">
        <v>41</v>
      </c>
      <c r="S56" s="548">
        <v>41</v>
      </c>
      <c r="BQ56" s="609">
        <v>41</v>
      </c>
      <c r="BR56" s="609">
        <v>41</v>
      </c>
    </row>
    <row r="57" spans="2:70" ht="38.25" x14ac:dyDescent="0.25">
      <c r="F57" s="535">
        <v>40</v>
      </c>
      <c r="G57" s="563" t="s">
        <v>544</v>
      </c>
      <c r="H57" s="536" t="s">
        <v>540</v>
      </c>
      <c r="I57" s="611">
        <v>0</v>
      </c>
      <c r="J57" s="549">
        <v>0</v>
      </c>
      <c r="K57" s="549">
        <v>0</v>
      </c>
      <c r="L57" s="618">
        <v>0</v>
      </c>
      <c r="M57" s="549">
        <v>0</v>
      </c>
      <c r="N57" s="549">
        <v>0</v>
      </c>
      <c r="O57" s="549">
        <v>0</v>
      </c>
      <c r="P57" s="549">
        <v>0</v>
      </c>
      <c r="Q57" s="549">
        <v>0</v>
      </c>
      <c r="R57" s="549">
        <v>0</v>
      </c>
      <c r="S57" s="550">
        <v>0</v>
      </c>
      <c r="BQ57" s="609">
        <v>0</v>
      </c>
      <c r="BR57" s="609">
        <v>0</v>
      </c>
    </row>
    <row r="58" spans="2:70" ht="43.5" customHeight="1" x14ac:dyDescent="0.25">
      <c r="F58" s="535">
        <v>41</v>
      </c>
      <c r="G58" s="563" t="s">
        <v>545</v>
      </c>
      <c r="H58" s="536" t="s">
        <v>536</v>
      </c>
      <c r="I58" s="611">
        <v>128622888</v>
      </c>
      <c r="J58" s="546">
        <v>123503.41</v>
      </c>
      <c r="K58" s="546">
        <v>128164.26</v>
      </c>
      <c r="L58" s="616">
        <v>131174.01999999999</v>
      </c>
      <c r="M58" s="546">
        <v>134674.01999999999</v>
      </c>
      <c r="N58" s="546">
        <v>138174</v>
      </c>
      <c r="O58" s="546">
        <v>141674</v>
      </c>
      <c r="P58" s="546">
        <v>145174</v>
      </c>
      <c r="Q58" s="546">
        <v>148170</v>
      </c>
      <c r="R58" s="546">
        <v>151374</v>
      </c>
      <c r="S58" s="547">
        <v>154774</v>
      </c>
      <c r="BQ58" s="609">
        <v>158374</v>
      </c>
      <c r="BR58" s="609">
        <v>161874</v>
      </c>
    </row>
    <row r="59" spans="2:70" ht="71.25" customHeight="1" x14ac:dyDescent="0.25">
      <c r="F59" s="535">
        <v>42</v>
      </c>
      <c r="G59" s="563" t="s">
        <v>546</v>
      </c>
      <c r="H59" s="536" t="s">
        <v>536</v>
      </c>
      <c r="I59" s="611">
        <v>0</v>
      </c>
      <c r="J59" s="546">
        <v>0</v>
      </c>
      <c r="K59" s="546">
        <v>0</v>
      </c>
      <c r="L59" s="616">
        <v>0</v>
      </c>
      <c r="M59" s="546">
        <v>0</v>
      </c>
      <c r="N59" s="546">
        <v>0</v>
      </c>
      <c r="O59" s="546">
        <v>0</v>
      </c>
      <c r="P59" s="546">
        <v>0</v>
      </c>
      <c r="Q59" s="546">
        <v>0</v>
      </c>
      <c r="R59" s="546">
        <v>0</v>
      </c>
      <c r="S59" s="546">
        <v>0</v>
      </c>
      <c r="U59" s="399" t="s">
        <v>375</v>
      </c>
      <c r="BQ59" s="609">
        <v>0</v>
      </c>
      <c r="BR59" s="609">
        <v>0</v>
      </c>
    </row>
    <row r="60" spans="2:70" ht="78" customHeight="1" x14ac:dyDescent="0.25">
      <c r="C60" s="478">
        <v>3883.8</v>
      </c>
      <c r="D60" s="478">
        <v>6030</v>
      </c>
      <c r="E60" s="478">
        <v>7093.7</v>
      </c>
      <c r="F60" s="535">
        <v>43</v>
      </c>
      <c r="G60" s="563" t="s">
        <v>383</v>
      </c>
      <c r="H60" s="536" t="s">
        <v>536</v>
      </c>
      <c r="I60" s="611">
        <v>0</v>
      </c>
      <c r="J60" s="549">
        <v>0</v>
      </c>
      <c r="K60" s="549">
        <v>0</v>
      </c>
      <c r="L60" s="618">
        <v>0</v>
      </c>
      <c r="M60" s="549">
        <v>0</v>
      </c>
      <c r="N60" s="549">
        <v>0</v>
      </c>
      <c r="O60" s="549">
        <v>0</v>
      </c>
      <c r="P60" s="549">
        <v>0</v>
      </c>
      <c r="Q60" s="549">
        <v>0</v>
      </c>
      <c r="R60" s="549">
        <v>0</v>
      </c>
      <c r="S60" s="550">
        <v>0</v>
      </c>
      <c r="BQ60" s="609">
        <v>0</v>
      </c>
      <c r="BR60" s="609">
        <v>0</v>
      </c>
    </row>
    <row r="61" spans="2:70" ht="66" customHeight="1" x14ac:dyDescent="0.25">
      <c r="F61" s="535">
        <v>44</v>
      </c>
      <c r="G61" s="563" t="s">
        <v>548</v>
      </c>
      <c r="H61" s="536" t="s">
        <v>540</v>
      </c>
      <c r="I61" s="611">
        <v>6932</v>
      </c>
      <c r="J61" s="549">
        <v>6724</v>
      </c>
      <c r="K61" s="549">
        <v>6522</v>
      </c>
      <c r="L61" s="618">
        <v>6457</v>
      </c>
      <c r="M61" s="549">
        <v>6392</v>
      </c>
      <c r="N61" s="549">
        <v>6328</v>
      </c>
      <c r="O61" s="549">
        <v>6265</v>
      </c>
      <c r="P61" s="549">
        <v>6202</v>
      </c>
      <c r="Q61" s="549">
        <v>6139</v>
      </c>
      <c r="R61" s="549">
        <v>6078</v>
      </c>
      <c r="S61" s="550">
        <v>6017</v>
      </c>
      <c r="BQ61" s="609">
        <v>5957</v>
      </c>
      <c r="BR61" s="609">
        <v>5898</v>
      </c>
    </row>
    <row r="62" spans="2:70" ht="59.25" customHeight="1" thickBot="1" x14ac:dyDescent="0.3">
      <c r="E62" s="524"/>
      <c r="F62" s="535">
        <v>45</v>
      </c>
      <c r="G62" s="563" t="s">
        <v>549</v>
      </c>
      <c r="H62" s="536" t="s">
        <v>529</v>
      </c>
      <c r="I62" s="620">
        <v>11795000</v>
      </c>
      <c r="J62" s="536">
        <v>11441150</v>
      </c>
      <c r="K62" s="536">
        <v>11097915</v>
      </c>
      <c r="L62" s="617">
        <v>10986936</v>
      </c>
      <c r="M62" s="536">
        <v>10877066</v>
      </c>
      <c r="N62" s="536">
        <v>10768296</v>
      </c>
      <c r="O62" s="536">
        <v>10660613</v>
      </c>
      <c r="P62" s="536">
        <v>10554007</v>
      </c>
      <c r="Q62" s="536">
        <v>10448466</v>
      </c>
      <c r="R62" s="536">
        <v>10343982</v>
      </c>
      <c r="S62" s="548">
        <v>10240542</v>
      </c>
      <c r="AS62" s="401"/>
      <c r="AT62" s="401"/>
      <c r="AU62" s="401"/>
      <c r="BQ62" s="609">
        <v>10138137</v>
      </c>
      <c r="BR62" s="609">
        <v>10036755</v>
      </c>
    </row>
    <row r="63" spans="2:70" ht="92.25" customHeight="1" x14ac:dyDescent="0.25">
      <c r="F63" s="535">
        <v>46</v>
      </c>
      <c r="G63" s="563" t="s">
        <v>550</v>
      </c>
      <c r="H63" s="536" t="s">
        <v>529</v>
      </c>
      <c r="I63" s="611">
        <v>11795000</v>
      </c>
      <c r="J63" s="536">
        <v>11441150</v>
      </c>
      <c r="K63" s="536">
        <v>11097915</v>
      </c>
      <c r="L63" s="617">
        <v>10986936</v>
      </c>
      <c r="M63" s="536">
        <v>10877066</v>
      </c>
      <c r="N63" s="536">
        <v>10768296</v>
      </c>
      <c r="O63" s="536">
        <v>10660613</v>
      </c>
      <c r="P63" s="536">
        <v>10554007</v>
      </c>
      <c r="Q63" s="536">
        <v>10448466</v>
      </c>
      <c r="R63" s="536">
        <v>10343982</v>
      </c>
      <c r="S63" s="548">
        <v>10240542</v>
      </c>
      <c r="U63" s="399">
        <f>150*12/70</f>
        <v>25.714285714285715</v>
      </c>
      <c r="AS63" s="401"/>
      <c r="AT63" s="401"/>
      <c r="AU63" s="401"/>
      <c r="BQ63" s="609">
        <v>10138137</v>
      </c>
      <c r="BR63" s="609">
        <v>10036755</v>
      </c>
    </row>
    <row r="64" spans="2:70" ht="48" customHeight="1" thickBot="1" x14ac:dyDescent="0.3">
      <c r="E64" s="524"/>
      <c r="F64" s="535">
        <v>47</v>
      </c>
      <c r="G64" s="563" t="s">
        <v>551</v>
      </c>
      <c r="H64" s="536" t="s">
        <v>529</v>
      </c>
      <c r="I64" s="611">
        <v>11622900</v>
      </c>
      <c r="J64" s="536">
        <v>11274213</v>
      </c>
      <c r="K64" s="536">
        <v>10935986.6</v>
      </c>
      <c r="L64" s="617">
        <v>10826626</v>
      </c>
      <c r="M64" s="536">
        <v>10718360</v>
      </c>
      <c r="N64" s="536">
        <v>10611176</v>
      </c>
      <c r="O64" s="536">
        <v>10505065</v>
      </c>
      <c r="P64" s="536">
        <v>10400014</v>
      </c>
      <c r="Q64" s="536">
        <v>102296013</v>
      </c>
      <c r="R64" s="536">
        <v>10193053</v>
      </c>
      <c r="S64" s="548">
        <v>10091123</v>
      </c>
      <c r="AS64" s="401"/>
      <c r="AT64" s="401"/>
      <c r="AU64" s="401"/>
      <c r="BQ64" s="609">
        <v>9990211.9000000004</v>
      </c>
      <c r="BR64" s="609">
        <v>9890309</v>
      </c>
    </row>
    <row r="65" spans="1:70" ht="75" customHeight="1" x14ac:dyDescent="0.25">
      <c r="F65" s="535">
        <v>48</v>
      </c>
      <c r="G65" s="563" t="s">
        <v>640</v>
      </c>
      <c r="H65" s="536" t="s">
        <v>529</v>
      </c>
      <c r="I65" s="611">
        <v>3986700</v>
      </c>
      <c r="J65" s="536">
        <v>3867099</v>
      </c>
      <c r="K65" s="536">
        <v>3751086</v>
      </c>
      <c r="L65" s="617">
        <v>3713575</v>
      </c>
      <c r="M65" s="536">
        <v>3676439</v>
      </c>
      <c r="N65" s="536">
        <v>3639675</v>
      </c>
      <c r="O65" s="536">
        <v>3603278</v>
      </c>
      <c r="P65" s="536">
        <v>3567245</v>
      </c>
      <c r="Q65" s="536">
        <v>3531572</v>
      </c>
      <c r="R65" s="536">
        <v>3496256</v>
      </c>
      <c r="S65" s="548">
        <v>3461294</v>
      </c>
      <c r="BQ65" s="609">
        <v>3426681</v>
      </c>
      <c r="BR65" s="609">
        <v>3392414</v>
      </c>
    </row>
    <row r="66" spans="1:70" ht="89.25" hidden="1" x14ac:dyDescent="0.25">
      <c r="F66" s="535" t="s">
        <v>479</v>
      </c>
      <c r="G66" s="564" t="s">
        <v>553</v>
      </c>
      <c r="H66" s="536" t="s">
        <v>529</v>
      </c>
      <c r="I66" s="611">
        <v>15727835.699999999</v>
      </c>
      <c r="J66" s="536">
        <v>10998475.505009999</v>
      </c>
      <c r="K66" s="536">
        <v>7025277.8000359237</v>
      </c>
      <c r="L66" s="617">
        <v>0</v>
      </c>
      <c r="M66" s="536">
        <v>0</v>
      </c>
      <c r="N66" s="536">
        <v>0</v>
      </c>
      <c r="O66" s="536">
        <v>0</v>
      </c>
      <c r="P66" s="536">
        <v>0</v>
      </c>
      <c r="Q66" s="536">
        <v>0</v>
      </c>
      <c r="R66" s="536">
        <v>0</v>
      </c>
      <c r="S66" s="548">
        <v>0</v>
      </c>
      <c r="BQ66" s="609"/>
      <c r="BR66" s="609"/>
    </row>
    <row r="67" spans="1:70" ht="84.75" customHeight="1" x14ac:dyDescent="0.25">
      <c r="E67" s="397" t="s">
        <v>478</v>
      </c>
      <c r="F67" s="535">
        <v>49</v>
      </c>
      <c r="G67" s="563" t="s">
        <v>553</v>
      </c>
      <c r="H67" s="536" t="s">
        <v>529</v>
      </c>
      <c r="I67" s="611">
        <v>11622900</v>
      </c>
      <c r="J67" s="536">
        <v>11274213</v>
      </c>
      <c r="K67" s="536">
        <v>10935986.6</v>
      </c>
      <c r="L67" s="617">
        <v>10826626</v>
      </c>
      <c r="M67" s="536">
        <v>10718360</v>
      </c>
      <c r="N67" s="536">
        <v>10611176</v>
      </c>
      <c r="O67" s="536">
        <v>10505065</v>
      </c>
      <c r="P67" s="536">
        <v>10400014</v>
      </c>
      <c r="Q67" s="536">
        <v>102296013</v>
      </c>
      <c r="R67" s="536">
        <v>10193053</v>
      </c>
      <c r="S67" s="548">
        <v>10091123</v>
      </c>
      <c r="BQ67" s="609">
        <v>9990211.9000000004</v>
      </c>
      <c r="BR67" s="609">
        <v>9890309.8000000007</v>
      </c>
    </row>
    <row r="68" spans="1:70" ht="54" customHeight="1" thickBot="1" x14ac:dyDescent="0.3">
      <c r="E68" s="155"/>
      <c r="F68" s="535">
        <v>50</v>
      </c>
      <c r="G68" s="563" t="s">
        <v>22</v>
      </c>
      <c r="H68" s="536" t="s">
        <v>517</v>
      </c>
      <c r="I68" s="611">
        <v>0</v>
      </c>
      <c r="J68" s="546">
        <v>0</v>
      </c>
      <c r="K68" s="546">
        <v>0</v>
      </c>
      <c r="L68" s="616">
        <v>0</v>
      </c>
      <c r="M68" s="546">
        <v>0</v>
      </c>
      <c r="N68" s="546">
        <v>0</v>
      </c>
      <c r="O68" s="546">
        <v>0</v>
      </c>
      <c r="P68" s="546">
        <v>0</v>
      </c>
      <c r="Q68" s="546">
        <v>0</v>
      </c>
      <c r="R68" s="546">
        <v>0</v>
      </c>
      <c r="S68" s="547">
        <v>0</v>
      </c>
      <c r="BQ68" s="609">
        <v>0</v>
      </c>
      <c r="BR68" s="609">
        <v>0</v>
      </c>
    </row>
    <row r="69" spans="1:70" ht="71.25" customHeight="1" x14ac:dyDescent="0.25">
      <c r="F69" s="535">
        <v>51</v>
      </c>
      <c r="G69" s="563" t="s">
        <v>555</v>
      </c>
      <c r="H69" s="536" t="s">
        <v>517</v>
      </c>
      <c r="I69" s="611">
        <v>0</v>
      </c>
      <c r="J69" s="546">
        <v>0</v>
      </c>
      <c r="K69" s="546">
        <v>0</v>
      </c>
      <c r="L69" s="616">
        <v>0</v>
      </c>
      <c r="M69" s="546">
        <v>0</v>
      </c>
      <c r="N69" s="546">
        <v>0</v>
      </c>
      <c r="O69" s="546">
        <v>0</v>
      </c>
      <c r="P69" s="546">
        <v>0</v>
      </c>
      <c r="Q69" s="546">
        <v>0</v>
      </c>
      <c r="R69" s="546">
        <v>0</v>
      </c>
      <c r="S69" s="547">
        <v>0</v>
      </c>
      <c r="BQ69" s="609">
        <v>0</v>
      </c>
      <c r="BR69" s="609">
        <v>0</v>
      </c>
    </row>
    <row r="70" spans="1:70" ht="43.5" customHeight="1" x14ac:dyDescent="0.25">
      <c r="B70" s="392"/>
      <c r="C70" s="478">
        <v>33800</v>
      </c>
      <c r="F70" s="535">
        <v>52</v>
      </c>
      <c r="G70" s="563" t="s">
        <v>556</v>
      </c>
      <c r="H70" s="536" t="s">
        <v>517</v>
      </c>
      <c r="I70" s="611">
        <v>48977.514000000003</v>
      </c>
      <c r="J70" s="546">
        <v>47508.188000000002</v>
      </c>
      <c r="K70" s="546">
        <v>46082.942000000003</v>
      </c>
      <c r="L70" s="616">
        <v>45622.112999999998</v>
      </c>
      <c r="M70" s="546">
        <v>45165.892</v>
      </c>
      <c r="N70" s="546">
        <v>44714.233</v>
      </c>
      <c r="O70" s="546">
        <v>44267.091</v>
      </c>
      <c r="P70" s="546">
        <v>43824.42</v>
      </c>
      <c r="Q70" s="546">
        <v>43386.17</v>
      </c>
      <c r="R70" s="546">
        <v>42952.313999999998</v>
      </c>
      <c r="S70" s="547">
        <v>42522.79</v>
      </c>
      <c r="AT70" s="401"/>
      <c r="AU70" s="401"/>
      <c r="AY70" s="403"/>
      <c r="AZ70" s="403"/>
      <c r="BA70" s="403"/>
      <c r="BQ70" s="609">
        <v>42097.561999999998</v>
      </c>
      <c r="BR70" s="609">
        <v>41676.587</v>
      </c>
    </row>
    <row r="71" spans="1:70" ht="68.25" customHeight="1" x14ac:dyDescent="0.25">
      <c r="A71" s="478">
        <v>0</v>
      </c>
      <c r="B71" s="478">
        <v>850</v>
      </c>
      <c r="C71" s="478">
        <v>880</v>
      </c>
      <c r="E71" s="393"/>
      <c r="F71" s="535">
        <v>53</v>
      </c>
      <c r="G71" s="563" t="s">
        <v>638</v>
      </c>
      <c r="H71" s="536" t="s">
        <v>517</v>
      </c>
      <c r="I71" s="611">
        <v>14892.394</v>
      </c>
      <c r="J71" s="546">
        <v>14445.621999999999</v>
      </c>
      <c r="K71" s="546">
        <v>14012.253000000001</v>
      </c>
      <c r="L71" s="616">
        <v>13872.13</v>
      </c>
      <c r="M71" s="546">
        <v>13733.409</v>
      </c>
      <c r="N71" s="546">
        <v>13596.075000000001</v>
      </c>
      <c r="O71" s="546">
        <v>13460.114</v>
      </c>
      <c r="P71" s="546">
        <v>13325.513000000001</v>
      </c>
      <c r="Q71" s="546">
        <v>13192.257</v>
      </c>
      <c r="R71" s="546">
        <v>13060.334999999999</v>
      </c>
      <c r="S71" s="547">
        <v>12929.731</v>
      </c>
      <c r="BQ71" s="609">
        <v>12800.433999999999</v>
      </c>
      <c r="BR71" s="609">
        <v>12672.43</v>
      </c>
    </row>
    <row r="72" spans="1:70" ht="62.25" customHeight="1" x14ac:dyDescent="0.25">
      <c r="F72" s="535">
        <v>54</v>
      </c>
      <c r="G72" s="563" t="s">
        <v>558</v>
      </c>
      <c r="H72" s="536" t="s">
        <v>559</v>
      </c>
      <c r="I72" s="611">
        <v>647230.69999999995</v>
      </c>
      <c r="J72" s="549">
        <v>627813.80000000005</v>
      </c>
      <c r="K72" s="549">
        <v>608979.4</v>
      </c>
      <c r="L72" s="618">
        <v>602889.5</v>
      </c>
      <c r="M72" s="549">
        <v>596860.6</v>
      </c>
      <c r="N72" s="549">
        <v>590892</v>
      </c>
      <c r="O72" s="549">
        <v>584983.1</v>
      </c>
      <c r="P72" s="549">
        <v>579133.30000000005</v>
      </c>
      <c r="Q72" s="549">
        <v>573341</v>
      </c>
      <c r="R72" s="549">
        <v>567608</v>
      </c>
      <c r="S72" s="550">
        <v>561932</v>
      </c>
      <c r="BQ72" s="609">
        <v>556313</v>
      </c>
      <c r="BR72" s="609">
        <v>550750</v>
      </c>
    </row>
    <row r="73" spans="1:70" ht="89.25" customHeight="1" x14ac:dyDescent="0.25">
      <c r="B73" s="391">
        <v>105700</v>
      </c>
      <c r="C73" s="391">
        <v>106800</v>
      </c>
      <c r="D73" s="391">
        <v>109900</v>
      </c>
      <c r="F73" s="535">
        <v>55</v>
      </c>
      <c r="G73" s="563" t="s">
        <v>561</v>
      </c>
      <c r="H73" s="536" t="s">
        <v>559</v>
      </c>
      <c r="I73" s="611">
        <v>309500</v>
      </c>
      <c r="J73" s="549">
        <v>300215</v>
      </c>
      <c r="K73" s="549">
        <v>291208.5</v>
      </c>
      <c r="L73" s="618">
        <v>288296.40000000002</v>
      </c>
      <c r="M73" s="549">
        <v>285413.5</v>
      </c>
      <c r="N73" s="549">
        <v>282559.3</v>
      </c>
      <c r="O73" s="549">
        <v>279733.7</v>
      </c>
      <c r="P73" s="549">
        <v>276936.40000000002</v>
      </c>
      <c r="Q73" s="549">
        <v>274167</v>
      </c>
      <c r="R73" s="549">
        <v>271425</v>
      </c>
      <c r="S73" s="550">
        <v>268711</v>
      </c>
      <c r="BQ73" s="609">
        <v>266024</v>
      </c>
      <c r="BR73" s="609">
        <v>263363</v>
      </c>
    </row>
    <row r="74" spans="1:70" ht="44.25" customHeight="1" x14ac:dyDescent="0.25">
      <c r="F74" s="535">
        <v>56</v>
      </c>
      <c r="G74" s="563" t="s">
        <v>562</v>
      </c>
      <c r="H74" s="536" t="s">
        <v>559</v>
      </c>
      <c r="I74" s="611">
        <v>891909</v>
      </c>
      <c r="J74" s="549">
        <v>865151.7</v>
      </c>
      <c r="K74" s="549">
        <v>839197.1</v>
      </c>
      <c r="L74" s="618">
        <v>830805.2</v>
      </c>
      <c r="M74" s="549">
        <v>822497.1</v>
      </c>
      <c r="N74" s="549">
        <v>814272.1</v>
      </c>
      <c r="O74" s="549">
        <v>806129.4</v>
      </c>
      <c r="P74" s="549">
        <v>798068.1</v>
      </c>
      <c r="Q74" s="549">
        <v>790087.4</v>
      </c>
      <c r="R74" s="549">
        <v>782186</v>
      </c>
      <c r="S74" s="550">
        <v>774364</v>
      </c>
      <c r="BQ74" s="609">
        <v>766621</v>
      </c>
      <c r="BR74" s="609">
        <v>758954</v>
      </c>
    </row>
    <row r="75" spans="1:70" ht="71.25" customHeight="1" x14ac:dyDescent="0.25">
      <c r="F75" s="535">
        <v>57</v>
      </c>
      <c r="G75" s="563" t="s">
        <v>637</v>
      </c>
      <c r="H75" s="536" t="s">
        <v>559</v>
      </c>
      <c r="I75" s="611">
        <v>329796</v>
      </c>
      <c r="J75" s="549">
        <v>319902</v>
      </c>
      <c r="K75" s="549">
        <v>310305</v>
      </c>
      <c r="L75" s="618">
        <v>307202</v>
      </c>
      <c r="M75" s="549">
        <v>304129.90000000002</v>
      </c>
      <c r="N75" s="549">
        <v>301088.59999999998</v>
      </c>
      <c r="O75" s="549">
        <v>298077.7</v>
      </c>
      <c r="P75" s="549">
        <v>295097</v>
      </c>
      <c r="Q75" s="549">
        <v>292146</v>
      </c>
      <c r="R75" s="549">
        <v>289224.5</v>
      </c>
      <c r="S75" s="550">
        <v>286332</v>
      </c>
      <c r="BQ75" s="609">
        <v>283469</v>
      </c>
      <c r="BR75" s="609">
        <v>280634</v>
      </c>
    </row>
    <row r="76" spans="1:70" ht="100.5" customHeight="1" x14ac:dyDescent="0.25">
      <c r="F76" s="535">
        <v>58</v>
      </c>
      <c r="G76" s="564" t="s">
        <v>568</v>
      </c>
      <c r="H76" s="536" t="s">
        <v>559</v>
      </c>
      <c r="I76" s="611">
        <v>97524</v>
      </c>
      <c r="J76" s="549">
        <v>175543.2</v>
      </c>
      <c r="K76" s="549">
        <v>176420.916</v>
      </c>
      <c r="L76" s="618">
        <v>0</v>
      </c>
      <c r="M76" s="549">
        <v>0</v>
      </c>
      <c r="N76" s="549">
        <v>0</v>
      </c>
      <c r="O76" s="549">
        <v>0</v>
      </c>
      <c r="P76" s="549">
        <v>0</v>
      </c>
      <c r="Q76" s="549">
        <v>0</v>
      </c>
      <c r="R76" s="549">
        <v>0</v>
      </c>
      <c r="S76" s="550">
        <v>0</v>
      </c>
      <c r="BQ76" s="609"/>
      <c r="BR76" s="609"/>
    </row>
    <row r="77" spans="1:70" ht="96" customHeight="1" x14ac:dyDescent="0.25">
      <c r="E77" s="397" t="s">
        <v>478</v>
      </c>
      <c r="F77" s="535">
        <v>58</v>
      </c>
      <c r="G77" s="563" t="s">
        <v>568</v>
      </c>
      <c r="H77" s="536" t="s">
        <v>559</v>
      </c>
      <c r="I77" s="611">
        <v>255342</v>
      </c>
      <c r="J77" s="533">
        <v>247681.7</v>
      </c>
      <c r="K77" s="533">
        <v>240251.2</v>
      </c>
      <c r="L77" s="618">
        <v>237848.7</v>
      </c>
      <c r="M77" s="549">
        <v>235470.2</v>
      </c>
      <c r="N77" s="549">
        <v>233115.5</v>
      </c>
      <c r="O77" s="549">
        <v>230784.4</v>
      </c>
      <c r="P77" s="549">
        <v>228476.5</v>
      </c>
      <c r="Q77" s="549">
        <v>226191</v>
      </c>
      <c r="R77" s="549">
        <v>223929</v>
      </c>
      <c r="S77" s="549">
        <v>221690</v>
      </c>
      <c r="BQ77" s="609">
        <v>219473</v>
      </c>
      <c r="BR77" s="609">
        <v>217278</v>
      </c>
    </row>
    <row r="78" spans="1:70" ht="62.25" customHeight="1" thickBot="1" x14ac:dyDescent="0.3">
      <c r="E78" s="525">
        <v>35286.5</v>
      </c>
      <c r="F78" s="535">
        <v>59</v>
      </c>
      <c r="G78" s="563" t="s">
        <v>636</v>
      </c>
      <c r="H78" s="536" t="s">
        <v>570</v>
      </c>
      <c r="I78" s="611">
        <v>20456.706999999999</v>
      </c>
      <c r="J78" s="536">
        <v>19843</v>
      </c>
      <c r="K78" s="536">
        <v>19247.7</v>
      </c>
      <c r="L78" s="617">
        <v>19055.23</v>
      </c>
      <c r="M78" s="536">
        <v>18864.599999999999</v>
      </c>
      <c r="N78" s="536">
        <v>18676</v>
      </c>
      <c r="O78" s="536">
        <v>18489.2</v>
      </c>
      <c r="P78" s="536">
        <v>18304.3</v>
      </c>
      <c r="Q78" s="536">
        <v>18121.2</v>
      </c>
      <c r="R78" s="536">
        <v>17940</v>
      </c>
      <c r="S78" s="548">
        <v>17760.599999999999</v>
      </c>
      <c r="AO78" s="400"/>
      <c r="AP78" s="400"/>
      <c r="AQ78" s="400"/>
      <c r="BQ78" s="609">
        <v>17583.03</v>
      </c>
      <c r="BR78" s="609">
        <v>17407.2</v>
      </c>
    </row>
    <row r="79" spans="1:70" ht="89.25" customHeight="1" x14ac:dyDescent="0.25">
      <c r="E79" s="394"/>
      <c r="F79" s="535">
        <v>60</v>
      </c>
      <c r="G79" s="563" t="s">
        <v>571</v>
      </c>
      <c r="H79" s="536" t="s">
        <v>570</v>
      </c>
      <c r="I79" s="611">
        <v>16185.268</v>
      </c>
      <c r="J79" s="544">
        <v>15699.709000000001</v>
      </c>
      <c r="K79" s="544">
        <v>15228.718000000001</v>
      </c>
      <c r="L79" s="615">
        <v>15076.431</v>
      </c>
      <c r="M79" s="544">
        <v>14925.666999999999</v>
      </c>
      <c r="N79" s="544">
        <v>14776.41</v>
      </c>
      <c r="O79" s="544">
        <v>14628.646000000001</v>
      </c>
      <c r="P79" s="544">
        <v>14482.359</v>
      </c>
      <c r="Q79" s="544">
        <v>14337.535</v>
      </c>
      <c r="R79" s="544">
        <v>14194.16</v>
      </c>
      <c r="S79" s="545">
        <v>14052.218000000001</v>
      </c>
      <c r="AO79" s="400"/>
      <c r="AP79" s="400"/>
      <c r="AQ79" s="400"/>
      <c r="BQ79" s="609">
        <v>13911.696</v>
      </c>
      <c r="BR79" s="609">
        <v>13772.579</v>
      </c>
    </row>
    <row r="80" spans="1:70" ht="54" customHeight="1" thickBot="1" x14ac:dyDescent="0.3">
      <c r="E80" s="525"/>
      <c r="F80" s="535">
        <v>61</v>
      </c>
      <c r="G80" s="563" t="s">
        <v>635</v>
      </c>
      <c r="H80" s="536" t="s">
        <v>570</v>
      </c>
      <c r="I80" s="611">
        <v>4272.7330000000002</v>
      </c>
      <c r="J80" s="544">
        <v>4144.5510000000004</v>
      </c>
      <c r="K80" s="544">
        <v>4020.2139999999999</v>
      </c>
      <c r="L80" s="615">
        <v>3980.0120000000002</v>
      </c>
      <c r="M80" s="544">
        <v>3940.212</v>
      </c>
      <c r="N80" s="544">
        <v>3900.81</v>
      </c>
      <c r="O80" s="544">
        <v>3861.8009999999999</v>
      </c>
      <c r="P80" s="544">
        <v>3823.183</v>
      </c>
      <c r="Q80" s="544">
        <v>3784.951</v>
      </c>
      <c r="R80" s="544">
        <v>3747.1010000000001</v>
      </c>
      <c r="S80" s="545">
        <v>3709.63</v>
      </c>
      <c r="AO80" s="400"/>
      <c r="AP80" s="400"/>
      <c r="AQ80" s="400"/>
      <c r="BQ80" s="609">
        <v>3672.5340000000001</v>
      </c>
      <c r="BR80" s="609">
        <v>3635.808</v>
      </c>
    </row>
    <row r="81" spans="2:70" ht="89.25" x14ac:dyDescent="0.25">
      <c r="E81" s="394"/>
      <c r="F81" s="535">
        <v>62</v>
      </c>
      <c r="G81" s="563" t="s">
        <v>639</v>
      </c>
      <c r="H81" s="536" t="s">
        <v>570</v>
      </c>
      <c r="I81" s="619">
        <v>1196.9169999999999</v>
      </c>
      <c r="J81" s="544">
        <v>1161.0119999999999</v>
      </c>
      <c r="K81" s="544">
        <v>1126.182</v>
      </c>
      <c r="L81" s="615">
        <v>1114.92</v>
      </c>
      <c r="M81" s="544">
        <v>1103.771</v>
      </c>
      <c r="N81" s="544">
        <v>1092.7329999999999</v>
      </c>
      <c r="O81" s="544">
        <v>1081.8050000000001</v>
      </c>
      <c r="P81" s="544">
        <v>1070.9870000000001</v>
      </c>
      <c r="Q81" s="544">
        <v>1060.277</v>
      </c>
      <c r="R81" s="544">
        <v>1049.674</v>
      </c>
      <c r="S81" s="545">
        <v>1039.1769999999999</v>
      </c>
      <c r="AO81" s="400"/>
      <c r="AP81" s="400"/>
      <c r="AQ81" s="400"/>
      <c r="BQ81" s="609">
        <v>1028.7850000000001</v>
      </c>
      <c r="BR81" s="609">
        <v>1018.497</v>
      </c>
    </row>
    <row r="82" spans="2:70" hidden="1" x14ac:dyDescent="0.25">
      <c r="F82" s="535"/>
      <c r="G82" s="564" t="s">
        <v>337</v>
      </c>
      <c r="H82" s="536"/>
      <c r="I82" s="619">
        <v>28553.572</v>
      </c>
      <c r="J82" s="543">
        <v>28857.486033691584</v>
      </c>
      <c r="K82" s="543">
        <v>28889.05913702902</v>
      </c>
      <c r="L82" s="619">
        <v>27550.115332418194</v>
      </c>
      <c r="M82" s="543">
        <v>26850.891453629909</v>
      </c>
      <c r="N82" s="543">
        <v>26420.095446844982</v>
      </c>
      <c r="O82" s="543">
        <v>26684.546184961346</v>
      </c>
      <c r="P82" s="543">
        <v>25803.201604273418</v>
      </c>
      <c r="Q82" s="543">
        <v>24913.353332058796</v>
      </c>
      <c r="R82" s="543">
        <v>24064.548274051998</v>
      </c>
      <c r="S82" s="551">
        <v>23254.865006280212</v>
      </c>
      <c r="BQ82" s="608"/>
      <c r="BR82" s="608"/>
    </row>
    <row r="83" spans="2:70" ht="41.25" customHeight="1" x14ac:dyDescent="0.25">
      <c r="F83" s="535"/>
      <c r="G83" s="564" t="s">
        <v>154</v>
      </c>
      <c r="H83" s="536"/>
      <c r="I83" s="619">
        <v>16761.600999999999</v>
      </c>
      <c r="J83" s="543">
        <v>19140.847968184109</v>
      </c>
      <c r="K83" s="543">
        <v>22849.439851000014</v>
      </c>
      <c r="L83" s="619">
        <v>27550.115332418194</v>
      </c>
      <c r="M83" s="543">
        <v>26850.891453629909</v>
      </c>
      <c r="N83" s="543">
        <v>26420.095446844982</v>
      </c>
      <c r="O83" s="543">
        <v>26684.546184961346</v>
      </c>
      <c r="P83" s="543">
        <v>25803.201604273418</v>
      </c>
      <c r="Q83" s="543">
        <v>24913.353332058796</v>
      </c>
      <c r="R83" s="543">
        <v>24064.548274051998</v>
      </c>
      <c r="S83" s="551">
        <v>23254.865006280212</v>
      </c>
      <c r="BQ83" s="608"/>
      <c r="BR83" s="608"/>
    </row>
    <row r="84" spans="2:70" ht="24.75" customHeight="1" x14ac:dyDescent="0.25">
      <c r="F84" s="535"/>
      <c r="G84" s="564" t="s">
        <v>74</v>
      </c>
      <c r="H84" s="536"/>
      <c r="I84" s="613">
        <v>2.8724642569078022E-2</v>
      </c>
      <c r="J84" s="537">
        <v>2.8437396143387243E-2</v>
      </c>
      <c r="K84" s="537">
        <v>2.8153022181953372E-2</v>
      </c>
      <c r="L84" s="613">
        <v>2.7871491960133839E-2</v>
      </c>
      <c r="M84" s="537">
        <v>2.75927770405325E-2</v>
      </c>
      <c r="N84" s="537">
        <v>2.7316849270127175E-2</v>
      </c>
      <c r="O84" s="537">
        <v>2.7043680777425902E-2</v>
      </c>
      <c r="P84" s="537">
        <v>2.6773243969651642E-2</v>
      </c>
      <c r="Q84" s="537">
        <v>2.6505511529955127E-2</v>
      </c>
      <c r="R84" s="537">
        <v>2.6240456414655576E-2</v>
      </c>
      <c r="S84" s="540">
        <v>2.5978051850509019E-2</v>
      </c>
      <c r="BQ84" s="608"/>
      <c r="BR84" s="608"/>
    </row>
    <row r="85" spans="2:70" ht="24.75" customHeight="1" x14ac:dyDescent="0.25">
      <c r="D85" s="396">
        <v>2010</v>
      </c>
      <c r="E85" s="396">
        <v>9834</v>
      </c>
      <c r="F85" s="535">
        <v>63</v>
      </c>
      <c r="G85" s="563" t="s">
        <v>574</v>
      </c>
      <c r="H85" s="536" t="s">
        <v>540</v>
      </c>
      <c r="I85" s="611">
        <v>8108</v>
      </c>
      <c r="J85" s="549">
        <v>8110</v>
      </c>
      <c r="K85" s="549">
        <v>8112</v>
      </c>
      <c r="L85" s="618">
        <v>8114</v>
      </c>
      <c r="M85" s="549">
        <v>8117</v>
      </c>
      <c r="N85" s="549">
        <v>8120</v>
      </c>
      <c r="O85" s="549">
        <v>8122</v>
      </c>
      <c r="P85" s="549">
        <v>8125</v>
      </c>
      <c r="Q85" s="549">
        <v>8130</v>
      </c>
      <c r="R85" s="549">
        <v>8133</v>
      </c>
      <c r="S85" s="550">
        <v>8135</v>
      </c>
      <c r="BQ85" s="644">
        <v>8139</v>
      </c>
      <c r="BR85" s="644">
        <v>8142</v>
      </c>
    </row>
    <row r="86" spans="2:70" ht="52.5" customHeight="1" x14ac:dyDescent="0.25">
      <c r="B86" s="391" t="e">
        <f>0.205*#REF!</f>
        <v>#REF!</v>
      </c>
      <c r="C86" s="391">
        <f>850/0.206</f>
        <v>4126.2135922330099</v>
      </c>
      <c r="D86" s="391">
        <f>I71/0.204</f>
        <v>73001.931372549021</v>
      </c>
      <c r="F86" s="535">
        <v>64</v>
      </c>
      <c r="G86" s="563" t="s">
        <v>575</v>
      </c>
      <c r="H86" s="536" t="s">
        <v>540</v>
      </c>
      <c r="I86" s="611">
        <v>52</v>
      </c>
      <c r="J86" s="611">
        <v>52</v>
      </c>
      <c r="K86" s="618">
        <v>53</v>
      </c>
      <c r="L86" s="618">
        <v>53</v>
      </c>
      <c r="M86" s="617">
        <v>53</v>
      </c>
      <c r="N86" s="617">
        <v>54</v>
      </c>
      <c r="O86" s="617">
        <v>54</v>
      </c>
      <c r="P86" s="617">
        <v>54</v>
      </c>
      <c r="Q86" s="617">
        <v>54</v>
      </c>
      <c r="R86" s="617">
        <v>55</v>
      </c>
      <c r="S86" s="646">
        <v>55</v>
      </c>
      <c r="T86" s="624"/>
      <c r="U86" s="624"/>
      <c r="V86" s="624"/>
      <c r="W86" s="624"/>
      <c r="X86" s="624"/>
      <c r="Y86" s="624"/>
      <c r="Z86" s="624"/>
      <c r="AA86" s="624"/>
      <c r="AB86" s="624"/>
      <c r="AC86" s="624"/>
      <c r="AD86" s="624"/>
      <c r="AE86" s="624"/>
      <c r="AF86" s="624"/>
      <c r="AG86" s="624"/>
      <c r="AH86" s="624"/>
      <c r="AI86" s="624"/>
      <c r="AJ86" s="624"/>
      <c r="AK86" s="624"/>
      <c r="AL86" s="624"/>
      <c r="AM86" s="624"/>
      <c r="AN86" s="624"/>
      <c r="AO86" s="624"/>
      <c r="AP86" s="624"/>
      <c r="AQ86" s="624"/>
      <c r="AR86" s="624"/>
      <c r="AS86" s="624"/>
      <c r="AT86" s="624"/>
      <c r="AU86" s="624"/>
      <c r="AV86" s="624"/>
      <c r="AW86" s="624"/>
      <c r="AX86" s="624"/>
      <c r="AY86" s="624"/>
      <c r="AZ86" s="624"/>
      <c r="BA86" s="624"/>
      <c r="BB86" s="624"/>
      <c r="BC86" s="624"/>
      <c r="BD86" s="624"/>
      <c r="BE86" s="624"/>
      <c r="BF86" s="610"/>
      <c r="BG86" s="610"/>
      <c r="BH86" s="610"/>
      <c r="BI86" s="610"/>
      <c r="BJ86" s="610"/>
      <c r="BK86" s="610"/>
      <c r="BL86" s="610"/>
      <c r="BM86" s="610"/>
      <c r="BN86" s="610"/>
      <c r="BO86" s="610"/>
      <c r="BP86" s="610"/>
      <c r="BQ86" s="609">
        <v>55</v>
      </c>
      <c r="BR86" s="609">
        <v>55</v>
      </c>
    </row>
    <row r="87" spans="2:70" ht="88.5" customHeight="1" thickBot="1" x14ac:dyDescent="0.3">
      <c r="B87" s="478">
        <v>3800</v>
      </c>
      <c r="C87" s="478">
        <v>9100</v>
      </c>
      <c r="D87" s="478">
        <v>21100</v>
      </c>
      <c r="E87" s="155"/>
      <c r="F87" s="535">
        <v>65</v>
      </c>
      <c r="G87" s="563" t="s">
        <v>576</v>
      </c>
      <c r="H87" s="536" t="s">
        <v>519</v>
      </c>
      <c r="I87" s="611">
        <v>185702.1</v>
      </c>
      <c r="J87" s="549">
        <v>194987.2</v>
      </c>
      <c r="K87" s="549">
        <v>204736.5</v>
      </c>
      <c r="L87" s="618">
        <v>214973.5</v>
      </c>
      <c r="M87" s="549">
        <v>225722</v>
      </c>
      <c r="N87" s="549">
        <v>237008.1</v>
      </c>
      <c r="O87" s="549">
        <v>248858.5</v>
      </c>
      <c r="P87" s="549">
        <v>261301.4</v>
      </c>
      <c r="Q87" s="549">
        <v>274366.5</v>
      </c>
      <c r="R87" s="549">
        <v>288084.8</v>
      </c>
      <c r="S87" s="550">
        <v>302489</v>
      </c>
      <c r="T87" s="526"/>
      <c r="U87" s="527" t="s">
        <v>632</v>
      </c>
      <c r="AU87" s="401"/>
      <c r="BQ87" s="609">
        <v>317613.5</v>
      </c>
      <c r="BR87" s="609">
        <v>333494.09999999998</v>
      </c>
    </row>
    <row r="88" spans="2:70" ht="56.25" customHeight="1" x14ac:dyDescent="0.25">
      <c r="B88" s="480"/>
      <c r="C88" s="480"/>
      <c r="D88" s="480"/>
      <c r="F88" s="535">
        <v>66</v>
      </c>
      <c r="G88" s="563" t="s">
        <v>577</v>
      </c>
      <c r="H88" s="536" t="s">
        <v>519</v>
      </c>
      <c r="I88" s="611">
        <v>203579.1</v>
      </c>
      <c r="J88" s="533">
        <v>193400.1</v>
      </c>
      <c r="K88" s="552">
        <v>183730.1</v>
      </c>
      <c r="L88" s="620">
        <v>174543.6</v>
      </c>
      <c r="M88" s="552">
        <v>165816.4</v>
      </c>
      <c r="N88" s="552">
        <v>157525.6</v>
      </c>
      <c r="O88" s="533">
        <v>149649.29999999999</v>
      </c>
      <c r="P88" s="533">
        <v>142166.79999999999</v>
      </c>
      <c r="Q88" s="533">
        <v>135058.5</v>
      </c>
      <c r="R88" s="533">
        <v>128305.5</v>
      </c>
      <c r="S88" s="534">
        <v>121890.3</v>
      </c>
      <c r="Y88" s="400"/>
      <c r="Z88" s="400"/>
      <c r="AA88" s="400"/>
      <c r="BQ88" s="609">
        <v>115795.8</v>
      </c>
      <c r="BR88" s="609">
        <v>110006</v>
      </c>
    </row>
    <row r="89" spans="2:70" ht="25.5" hidden="1" x14ac:dyDescent="0.25">
      <c r="F89" s="535"/>
      <c r="G89" s="563" t="s">
        <v>156</v>
      </c>
      <c r="H89" s="536" t="s">
        <v>519</v>
      </c>
      <c r="I89" s="611">
        <v>789823.44</v>
      </c>
      <c r="J89" s="553">
        <v>796459.48204439995</v>
      </c>
      <c r="K89" s="553">
        <v>835664.4621725399</v>
      </c>
      <c r="L89" s="621">
        <v>836500.12663471233</v>
      </c>
      <c r="M89" s="553">
        <v>837336.62676134706</v>
      </c>
      <c r="N89" s="553">
        <v>843614.55084400368</v>
      </c>
      <c r="O89" s="553">
        <v>849904.63092676224</v>
      </c>
      <c r="P89" s="553">
        <v>856206.88591867615</v>
      </c>
      <c r="Q89" s="553">
        <v>862521.33475621045</v>
      </c>
      <c r="R89" s="553">
        <v>863824.85507663351</v>
      </c>
      <c r="S89" s="554">
        <v>870158.72538332362</v>
      </c>
      <c r="BQ89" s="608"/>
      <c r="BR89" s="608"/>
    </row>
    <row r="90" spans="2:70" ht="38.25" hidden="1" x14ac:dyDescent="0.25">
      <c r="B90" s="391">
        <f>B91+B92</f>
        <v>170200</v>
      </c>
      <c r="C90" s="391">
        <f>C91+C92</f>
        <v>170500</v>
      </c>
      <c r="D90" s="391">
        <f>D91+D92</f>
        <v>172100</v>
      </c>
      <c r="F90" s="535"/>
      <c r="G90" s="563" t="s">
        <v>155</v>
      </c>
      <c r="H90" s="536" t="s">
        <v>519</v>
      </c>
      <c r="I90" s="621">
        <v>67209.068599999999</v>
      </c>
      <c r="J90" s="553">
        <v>126098.26731053997</v>
      </c>
      <c r="K90" s="553">
        <v>410319.16471345793</v>
      </c>
      <c r="L90" s="621">
        <v>836500.12663471233</v>
      </c>
      <c r="M90" s="553">
        <v>837336.62676134706</v>
      </c>
      <c r="N90" s="553">
        <v>843614.55084400368</v>
      </c>
      <c r="O90" s="553">
        <v>849904.63092676224</v>
      </c>
      <c r="P90" s="553">
        <v>856206.88591867615</v>
      </c>
      <c r="Q90" s="553">
        <v>862521.33475621045</v>
      </c>
      <c r="R90" s="553">
        <v>863824.85507663351</v>
      </c>
      <c r="S90" s="554">
        <v>870158.72538332362</v>
      </c>
      <c r="BQ90" s="608"/>
      <c r="BR90" s="608"/>
    </row>
    <row r="91" spans="2:70" ht="84" customHeight="1" x14ac:dyDescent="0.25">
      <c r="B91" s="391">
        <v>5400</v>
      </c>
      <c r="C91" s="391">
        <v>14400</v>
      </c>
      <c r="D91" s="391">
        <v>35000</v>
      </c>
      <c r="F91" s="535">
        <v>67</v>
      </c>
      <c r="G91" s="563" t="s">
        <v>578</v>
      </c>
      <c r="H91" s="536" t="s">
        <v>519</v>
      </c>
      <c r="I91" s="621">
        <v>199879.56</v>
      </c>
      <c r="J91" s="553">
        <v>209874</v>
      </c>
      <c r="K91" s="553">
        <v>220367.7</v>
      </c>
      <c r="L91" s="621">
        <v>231386.08</v>
      </c>
      <c r="M91" s="553">
        <v>242955.4</v>
      </c>
      <c r="N91" s="553">
        <v>255103</v>
      </c>
      <c r="O91" s="553">
        <v>267858</v>
      </c>
      <c r="P91" s="553">
        <v>281251</v>
      </c>
      <c r="Q91" s="553">
        <v>295313</v>
      </c>
      <c r="R91" s="553">
        <v>310079</v>
      </c>
      <c r="S91" s="554">
        <v>325583</v>
      </c>
      <c r="U91" s="527" t="s">
        <v>599</v>
      </c>
      <c r="BQ91" s="609">
        <v>341862</v>
      </c>
      <c r="BR91" s="609">
        <v>358955</v>
      </c>
    </row>
    <row r="92" spans="2:70" ht="56.25" customHeight="1" x14ac:dyDescent="0.25">
      <c r="B92" s="391">
        <v>164800</v>
      </c>
      <c r="C92" s="391">
        <v>156100</v>
      </c>
      <c r="D92" s="391">
        <v>137100</v>
      </c>
      <c r="F92" s="535">
        <v>68</v>
      </c>
      <c r="G92" s="563" t="s">
        <v>579</v>
      </c>
      <c r="H92" s="536" t="s">
        <v>519</v>
      </c>
      <c r="I92" s="621">
        <v>17678.740000000002</v>
      </c>
      <c r="J92" s="553">
        <v>16795</v>
      </c>
      <c r="K92" s="553">
        <v>15955</v>
      </c>
      <c r="L92" s="621">
        <v>15157</v>
      </c>
      <c r="M92" s="553">
        <v>14399.6</v>
      </c>
      <c r="N92" s="553">
        <v>13679</v>
      </c>
      <c r="O92" s="553">
        <v>12995</v>
      </c>
      <c r="P92" s="553">
        <v>12345</v>
      </c>
      <c r="Q92" s="553">
        <v>11728</v>
      </c>
      <c r="R92" s="553">
        <v>11142</v>
      </c>
      <c r="S92" s="554">
        <v>10985</v>
      </c>
      <c r="T92" s="399" t="e">
        <f>#REF!+#REF!</f>
        <v>#REF!</v>
      </c>
      <c r="BQ92" s="609">
        <v>10055</v>
      </c>
      <c r="BR92" s="609">
        <v>9553</v>
      </c>
    </row>
    <row r="93" spans="2:70" ht="81" customHeight="1" x14ac:dyDescent="0.25">
      <c r="F93" s="535">
        <v>69</v>
      </c>
      <c r="G93" s="563" t="s">
        <v>580</v>
      </c>
      <c r="H93" s="536" t="s">
        <v>519</v>
      </c>
      <c r="I93" s="611">
        <v>644227.5</v>
      </c>
      <c r="J93" s="544">
        <v>676438</v>
      </c>
      <c r="K93" s="544">
        <v>710260</v>
      </c>
      <c r="L93" s="615">
        <v>745733</v>
      </c>
      <c r="M93" s="544">
        <v>783062</v>
      </c>
      <c r="N93" s="544">
        <v>822215</v>
      </c>
      <c r="O93" s="544">
        <v>863326</v>
      </c>
      <c r="P93" s="544">
        <v>906492</v>
      </c>
      <c r="Q93" s="544">
        <v>933687</v>
      </c>
      <c r="R93" s="544">
        <v>961698</v>
      </c>
      <c r="S93" s="544">
        <v>980932</v>
      </c>
      <c r="BQ93" s="609">
        <v>10000550</v>
      </c>
      <c r="BR93" s="609">
        <v>1010556</v>
      </c>
    </row>
    <row r="94" spans="2:70" ht="59.25" customHeight="1" x14ac:dyDescent="0.25">
      <c r="F94" s="535">
        <v>70</v>
      </c>
      <c r="G94" s="563" t="s">
        <v>581</v>
      </c>
      <c r="H94" s="536" t="s">
        <v>519</v>
      </c>
      <c r="I94" s="611">
        <v>0</v>
      </c>
      <c r="J94" s="536">
        <v>0</v>
      </c>
      <c r="K94" s="536">
        <v>0</v>
      </c>
      <c r="L94" s="617">
        <v>0</v>
      </c>
      <c r="M94" s="536">
        <v>0</v>
      </c>
      <c r="N94" s="536">
        <v>0</v>
      </c>
      <c r="O94" s="536">
        <v>0</v>
      </c>
      <c r="P94" s="536">
        <v>0</v>
      </c>
      <c r="Q94" s="536">
        <v>0</v>
      </c>
      <c r="R94" s="536">
        <v>0</v>
      </c>
      <c r="S94" s="548">
        <v>0</v>
      </c>
      <c r="BQ94" s="609">
        <v>0</v>
      </c>
      <c r="BR94" s="609">
        <v>0</v>
      </c>
    </row>
    <row r="95" spans="2:70" ht="97.5" customHeight="1" x14ac:dyDescent="0.25">
      <c r="F95" s="535">
        <v>71</v>
      </c>
      <c r="G95" s="563" t="s">
        <v>634</v>
      </c>
      <c r="H95" s="536" t="s">
        <v>519</v>
      </c>
      <c r="I95" s="611">
        <v>824508.52</v>
      </c>
      <c r="J95" s="544">
        <v>865733</v>
      </c>
      <c r="K95" s="544">
        <v>909020</v>
      </c>
      <c r="L95" s="615">
        <v>954471</v>
      </c>
      <c r="M95" s="544">
        <v>1002194</v>
      </c>
      <c r="N95" s="544">
        <v>1032260</v>
      </c>
      <c r="O95" s="544">
        <v>1063228</v>
      </c>
      <c r="P95" s="544">
        <v>1095125</v>
      </c>
      <c r="Q95" s="544">
        <v>1127978</v>
      </c>
      <c r="R95" s="544">
        <v>1161818</v>
      </c>
      <c r="S95" s="545">
        <v>1196672</v>
      </c>
      <c r="BQ95" s="609">
        <v>1232572</v>
      </c>
      <c r="BR95" s="609">
        <v>1269550</v>
      </c>
    </row>
    <row r="96" spans="2:70" ht="68.25" customHeight="1" x14ac:dyDescent="0.25">
      <c r="B96" s="395">
        <v>259352</v>
      </c>
      <c r="C96" s="395">
        <v>227073</v>
      </c>
      <c r="D96" s="395">
        <v>211715</v>
      </c>
      <c r="F96" s="535">
        <v>72</v>
      </c>
      <c r="G96" s="563" t="s">
        <v>583</v>
      </c>
      <c r="H96" s="536" t="s">
        <v>519</v>
      </c>
      <c r="I96" s="611">
        <v>30279</v>
      </c>
      <c r="J96" s="536">
        <v>28765</v>
      </c>
      <c r="K96" s="536">
        <v>27326</v>
      </c>
      <c r="L96" s="617">
        <v>25960</v>
      </c>
      <c r="M96" s="536">
        <v>24662</v>
      </c>
      <c r="N96" s="536">
        <v>23429</v>
      </c>
      <c r="O96" s="536">
        <v>22257</v>
      </c>
      <c r="P96" s="536">
        <v>21144</v>
      </c>
      <c r="Q96" s="536">
        <v>20087</v>
      </c>
      <c r="R96" s="536">
        <v>19083</v>
      </c>
      <c r="S96" s="548">
        <v>18129</v>
      </c>
      <c r="BQ96" s="609">
        <v>17222</v>
      </c>
      <c r="BR96" s="609">
        <v>16361</v>
      </c>
    </row>
    <row r="97" spans="6:70" ht="52.5" customHeight="1" x14ac:dyDescent="0.25">
      <c r="F97" s="535">
        <v>73</v>
      </c>
      <c r="G97" s="563" t="s">
        <v>584</v>
      </c>
      <c r="H97" s="536" t="s">
        <v>585</v>
      </c>
      <c r="I97" s="611">
        <v>0</v>
      </c>
      <c r="J97" s="536">
        <v>0</v>
      </c>
      <c r="K97" s="536">
        <v>0</v>
      </c>
      <c r="L97" s="617">
        <v>0</v>
      </c>
      <c r="M97" s="536">
        <v>0</v>
      </c>
      <c r="N97" s="536">
        <v>0</v>
      </c>
      <c r="O97" s="536">
        <v>0</v>
      </c>
      <c r="P97" s="536">
        <v>0</v>
      </c>
      <c r="Q97" s="536">
        <v>0</v>
      </c>
      <c r="R97" s="536">
        <v>0</v>
      </c>
      <c r="S97" s="548">
        <v>0</v>
      </c>
      <c r="BQ97" s="609">
        <v>0</v>
      </c>
      <c r="BR97" s="609">
        <v>0</v>
      </c>
    </row>
    <row r="98" spans="6:70" ht="32.25" customHeight="1" x14ac:dyDescent="0.25">
      <c r="F98" s="535">
        <v>74</v>
      </c>
      <c r="G98" s="563" t="s">
        <v>631</v>
      </c>
      <c r="H98" s="536" t="s">
        <v>587</v>
      </c>
      <c r="I98" s="611">
        <v>0</v>
      </c>
      <c r="J98" s="536">
        <v>0</v>
      </c>
      <c r="K98" s="536">
        <v>0</v>
      </c>
      <c r="L98" s="617">
        <v>0</v>
      </c>
      <c r="M98" s="536">
        <v>0</v>
      </c>
      <c r="N98" s="536">
        <v>0</v>
      </c>
      <c r="O98" s="536">
        <v>0</v>
      </c>
      <c r="P98" s="536">
        <v>0</v>
      </c>
      <c r="Q98" s="536">
        <v>0</v>
      </c>
      <c r="R98" s="536">
        <v>0</v>
      </c>
      <c r="S98" s="548">
        <v>0</v>
      </c>
      <c r="Y98" s="400"/>
      <c r="Z98" s="400"/>
      <c r="AA98" s="400"/>
      <c r="AO98" s="400"/>
      <c r="AP98" s="400"/>
      <c r="AQ98" s="400"/>
      <c r="BQ98" s="609">
        <v>0</v>
      </c>
      <c r="BR98" s="609">
        <v>0</v>
      </c>
    </row>
    <row r="99" spans="6:70" ht="37.5" customHeight="1" x14ac:dyDescent="0.25">
      <c r="F99" s="535">
        <v>75</v>
      </c>
      <c r="G99" s="563" t="s">
        <v>588</v>
      </c>
      <c r="H99" s="536" t="s">
        <v>529</v>
      </c>
      <c r="I99" s="611">
        <v>0</v>
      </c>
      <c r="J99" s="536">
        <v>0</v>
      </c>
      <c r="K99" s="536">
        <v>0</v>
      </c>
      <c r="L99" s="617">
        <v>0</v>
      </c>
      <c r="M99" s="536">
        <v>0</v>
      </c>
      <c r="N99" s="536">
        <v>0</v>
      </c>
      <c r="O99" s="536">
        <v>0</v>
      </c>
      <c r="P99" s="536">
        <v>0</v>
      </c>
      <c r="Q99" s="536">
        <v>0</v>
      </c>
      <c r="R99" s="536">
        <v>0</v>
      </c>
      <c r="S99" s="548">
        <v>0</v>
      </c>
      <c r="T99" s="402">
        <f>S99*0.995</f>
        <v>0</v>
      </c>
      <c r="BQ99" s="609">
        <v>0</v>
      </c>
      <c r="BR99" s="609">
        <v>0</v>
      </c>
    </row>
    <row r="100" spans="6:70" ht="30" customHeight="1" x14ac:dyDescent="0.25">
      <c r="F100" s="535">
        <v>76</v>
      </c>
      <c r="G100" s="563" t="s">
        <v>589</v>
      </c>
      <c r="H100" s="536" t="s">
        <v>517</v>
      </c>
      <c r="I100" s="611">
        <v>0</v>
      </c>
      <c r="J100" s="536">
        <v>0</v>
      </c>
      <c r="K100" s="536">
        <v>0</v>
      </c>
      <c r="L100" s="617">
        <v>0</v>
      </c>
      <c r="M100" s="536">
        <v>0</v>
      </c>
      <c r="N100" s="536">
        <v>0</v>
      </c>
      <c r="O100" s="536">
        <v>0</v>
      </c>
      <c r="P100" s="536">
        <v>0</v>
      </c>
      <c r="Q100" s="536">
        <v>0</v>
      </c>
      <c r="R100" s="536">
        <v>0</v>
      </c>
      <c r="S100" s="548">
        <v>0</v>
      </c>
      <c r="BQ100" s="609">
        <v>0</v>
      </c>
      <c r="BR100" s="609">
        <v>0</v>
      </c>
    </row>
    <row r="101" spans="6:70" ht="32.25" customHeight="1" x14ac:dyDescent="0.25">
      <c r="F101" s="535">
        <v>77</v>
      </c>
      <c r="G101" s="563" t="s">
        <v>591</v>
      </c>
      <c r="H101" s="536" t="s">
        <v>559</v>
      </c>
      <c r="I101" s="611">
        <v>120.9</v>
      </c>
      <c r="J101" s="536">
        <v>117.2</v>
      </c>
      <c r="K101" s="536">
        <v>113.7</v>
      </c>
      <c r="L101" s="617">
        <v>112.6</v>
      </c>
      <c r="M101" s="536">
        <v>111.4</v>
      </c>
      <c r="N101" s="536">
        <v>110.3</v>
      </c>
      <c r="O101" s="536">
        <v>109.2</v>
      </c>
      <c r="P101" s="536">
        <v>108.1</v>
      </c>
      <c r="Q101" s="536">
        <v>107</v>
      </c>
      <c r="R101" s="536">
        <v>105.9</v>
      </c>
      <c r="S101" s="548">
        <v>104.8</v>
      </c>
      <c r="BQ101" s="608">
        <v>103.8</v>
      </c>
      <c r="BR101" s="608">
        <v>102.8</v>
      </c>
    </row>
    <row r="102" spans="6:70" ht="43.5" customHeight="1" x14ac:dyDescent="0.25">
      <c r="F102" s="535">
        <v>78</v>
      </c>
      <c r="G102" s="563" t="s">
        <v>592</v>
      </c>
      <c r="H102" s="536" t="s">
        <v>529</v>
      </c>
      <c r="I102" s="611">
        <v>2662300</v>
      </c>
      <c r="J102" s="536">
        <v>2582431</v>
      </c>
      <c r="K102" s="536">
        <v>2504958</v>
      </c>
      <c r="L102" s="617">
        <v>2479908</v>
      </c>
      <c r="M102" s="536">
        <v>2455109</v>
      </c>
      <c r="N102" s="536">
        <v>2430558</v>
      </c>
      <c r="O102" s="536">
        <v>2406252</v>
      </c>
      <c r="P102" s="536">
        <v>2382190</v>
      </c>
      <c r="Q102" s="536">
        <v>2358368</v>
      </c>
      <c r="R102" s="536">
        <v>2334784</v>
      </c>
      <c r="S102" s="548">
        <v>2311436</v>
      </c>
      <c r="BQ102" s="608">
        <v>2288322</v>
      </c>
      <c r="BR102" s="608">
        <v>2265438</v>
      </c>
    </row>
    <row r="103" spans="6:70" ht="99.75" customHeight="1" x14ac:dyDescent="0.25">
      <c r="F103" s="535">
        <v>79</v>
      </c>
      <c r="G103" s="563" t="s">
        <v>601</v>
      </c>
      <c r="H103" s="536" t="s">
        <v>540</v>
      </c>
      <c r="I103" s="611">
        <v>18</v>
      </c>
      <c r="J103" s="536">
        <v>18</v>
      </c>
      <c r="K103" s="536">
        <v>18</v>
      </c>
      <c r="L103" s="617">
        <v>19</v>
      </c>
      <c r="M103" s="536">
        <v>19</v>
      </c>
      <c r="N103" s="536">
        <v>19</v>
      </c>
      <c r="O103" s="536">
        <v>19</v>
      </c>
      <c r="P103" s="536">
        <v>20</v>
      </c>
      <c r="Q103" s="536">
        <v>20</v>
      </c>
      <c r="R103" s="536">
        <v>20</v>
      </c>
      <c r="S103" s="548">
        <v>20</v>
      </c>
      <c r="BF103" s="517"/>
      <c r="BG103" s="517"/>
      <c r="BH103" s="517"/>
      <c r="BI103" s="517"/>
      <c r="BJ103" s="517"/>
      <c r="BK103" s="517"/>
      <c r="BL103" s="517"/>
      <c r="BM103" s="517"/>
      <c r="BN103" s="517"/>
      <c r="BO103" s="517"/>
      <c r="BP103" s="517"/>
      <c r="BQ103" s="609">
        <v>21</v>
      </c>
      <c r="BR103" s="609">
        <v>21</v>
      </c>
    </row>
    <row r="104" spans="6:70" ht="130.5" customHeight="1" thickBot="1" x14ac:dyDescent="0.3">
      <c r="F104" s="555">
        <v>80</v>
      </c>
      <c r="G104" s="565" t="s">
        <v>5</v>
      </c>
      <c r="H104" s="556" t="s">
        <v>540</v>
      </c>
      <c r="I104" s="622">
        <v>2</v>
      </c>
      <c r="J104" s="557">
        <v>3</v>
      </c>
      <c r="K104" s="557">
        <v>2</v>
      </c>
      <c r="L104" s="622">
        <v>3</v>
      </c>
      <c r="M104" s="557">
        <v>3</v>
      </c>
      <c r="N104" s="557">
        <v>4</v>
      </c>
      <c r="O104" s="557">
        <v>4</v>
      </c>
      <c r="P104" s="557">
        <v>4</v>
      </c>
      <c r="Q104" s="557">
        <v>5</v>
      </c>
      <c r="R104" s="557">
        <v>5</v>
      </c>
      <c r="S104" s="558">
        <v>5</v>
      </c>
      <c r="BF104" s="517"/>
      <c r="BG104" s="517"/>
      <c r="BH104" s="517"/>
      <c r="BI104" s="517"/>
      <c r="BJ104" s="517"/>
      <c r="BK104" s="517"/>
      <c r="BL104" s="517"/>
      <c r="BM104" s="517"/>
      <c r="BN104" s="517"/>
      <c r="BO104" s="517"/>
      <c r="BP104" s="517"/>
      <c r="BQ104" s="609">
        <v>5</v>
      </c>
      <c r="BR104" s="609">
        <v>6</v>
      </c>
    </row>
    <row r="105" spans="6:70" ht="18" customHeight="1" x14ac:dyDescent="0.25">
      <c r="F105" s="405"/>
      <c r="G105" s="679" t="s">
        <v>4</v>
      </c>
      <c r="H105" s="679"/>
      <c r="I105" s="679"/>
      <c r="J105" s="679"/>
      <c r="K105" s="405"/>
      <c r="L105" s="623"/>
      <c r="M105" s="405"/>
      <c r="N105" s="405"/>
      <c r="O105" s="405"/>
      <c r="P105" s="405"/>
      <c r="Q105" s="405"/>
      <c r="R105" s="405"/>
      <c r="S105" s="405"/>
      <c r="BQ105" s="610"/>
      <c r="BR105" s="610"/>
    </row>
    <row r="106" spans="6:70" ht="15" customHeight="1" x14ac:dyDescent="0.25">
      <c r="F106" s="398"/>
      <c r="G106" s="678" t="s">
        <v>285</v>
      </c>
      <c r="H106" s="678"/>
      <c r="I106" s="678"/>
      <c r="J106" s="678"/>
      <c r="K106" s="398"/>
      <c r="L106" s="624"/>
      <c r="M106" s="398"/>
      <c r="N106" s="398"/>
      <c r="O106" s="398"/>
      <c r="P106" s="398"/>
      <c r="Q106" s="398"/>
      <c r="R106" s="398"/>
      <c r="S106" s="398"/>
      <c r="BQ106" s="610"/>
      <c r="BR106" s="610"/>
    </row>
    <row r="107" spans="6:70" s="482" customFormat="1" ht="24.75" hidden="1" customHeight="1" x14ac:dyDescent="0.25">
      <c r="F107" s="483"/>
      <c r="G107" s="677" t="s">
        <v>264</v>
      </c>
      <c r="H107" s="677"/>
      <c r="I107" s="627"/>
      <c r="J107" s="510"/>
      <c r="K107" s="511"/>
      <c r="L107" s="588"/>
      <c r="M107" s="483"/>
      <c r="N107" s="483"/>
      <c r="O107" s="483"/>
      <c r="P107" s="483"/>
      <c r="Q107" s="483"/>
      <c r="R107" s="483"/>
      <c r="S107" s="483"/>
      <c r="T107" s="483"/>
      <c r="U107" s="483"/>
      <c r="V107" s="483"/>
      <c r="W107" s="483"/>
      <c r="X107" s="483"/>
      <c r="Y107" s="483"/>
      <c r="Z107" s="483"/>
      <c r="AA107" s="483"/>
      <c r="AB107" s="483"/>
      <c r="AC107" s="483"/>
      <c r="AD107" s="483"/>
      <c r="AE107" s="483"/>
      <c r="AF107" s="483"/>
      <c r="AG107" s="483"/>
      <c r="AH107" s="483"/>
      <c r="AI107" s="483"/>
      <c r="AJ107" s="483"/>
      <c r="AK107" s="483"/>
      <c r="AL107" s="483"/>
      <c r="AM107" s="483"/>
      <c r="AN107" s="483"/>
      <c r="AO107" s="483"/>
      <c r="AP107" s="483"/>
      <c r="AQ107" s="483"/>
      <c r="AR107" s="483"/>
      <c r="AS107" s="483"/>
      <c r="AT107" s="483"/>
      <c r="AU107" s="483"/>
      <c r="AV107" s="483"/>
      <c r="AW107" s="483"/>
      <c r="AX107" s="483"/>
      <c r="AY107" s="483"/>
      <c r="AZ107" s="483"/>
      <c r="BA107" s="483"/>
      <c r="BB107" s="483"/>
      <c r="BC107" s="483"/>
      <c r="BD107" s="483"/>
      <c r="BE107" s="483"/>
    </row>
    <row r="108" spans="6:70" s="482" customFormat="1" ht="15.75" hidden="1" customHeight="1" thickBot="1" x14ac:dyDescent="0.3">
      <c r="F108" s="483"/>
      <c r="G108" s="569"/>
      <c r="H108" s="483"/>
      <c r="I108" s="635"/>
      <c r="J108" s="485"/>
      <c r="K108" s="485"/>
      <c r="L108" s="595"/>
      <c r="M108" s="485"/>
      <c r="N108" s="485"/>
      <c r="O108" s="485"/>
      <c r="P108" s="485"/>
      <c r="Q108" s="485"/>
      <c r="R108" s="485"/>
      <c r="S108" s="485"/>
      <c r="T108" s="485"/>
      <c r="U108" s="483"/>
      <c r="V108" s="483"/>
      <c r="W108" s="483"/>
      <c r="X108" s="483"/>
      <c r="Y108" s="483"/>
      <c r="Z108" s="483"/>
      <c r="AA108" s="483"/>
      <c r="AB108" s="483"/>
      <c r="AC108" s="483"/>
      <c r="AD108" s="483"/>
      <c r="AE108" s="483"/>
      <c r="AF108" s="483"/>
      <c r="AG108" s="483"/>
      <c r="AH108" s="483"/>
      <c r="AI108" s="483"/>
      <c r="AJ108" s="483"/>
      <c r="AK108" s="483"/>
      <c r="AL108" s="483"/>
      <c r="AM108" s="483"/>
      <c r="AN108" s="483"/>
      <c r="AO108" s="483"/>
      <c r="AP108" s="483"/>
      <c r="AQ108" s="483"/>
      <c r="AR108" s="483"/>
      <c r="AS108" s="483"/>
      <c r="AT108" s="483"/>
      <c r="AU108" s="483"/>
      <c r="AV108" s="483"/>
      <c r="AW108" s="483"/>
      <c r="AX108" s="483"/>
      <c r="AY108" s="483"/>
      <c r="AZ108" s="483"/>
      <c r="BA108" s="483"/>
      <c r="BB108" s="483"/>
      <c r="BC108" s="483"/>
      <c r="BD108" s="483"/>
      <c r="BE108" s="483"/>
    </row>
    <row r="109" spans="6:70" s="482" customFormat="1" hidden="1" x14ac:dyDescent="0.25">
      <c r="F109" s="483"/>
      <c r="G109" s="570" t="s">
        <v>470</v>
      </c>
      <c r="H109" s="512" t="s">
        <v>519</v>
      </c>
      <c r="I109" s="632">
        <v>934305.5</v>
      </c>
      <c r="J109" s="487">
        <f t="shared" ref="J109:S109" si="2">J111+J118</f>
        <v>934492.36109999998</v>
      </c>
      <c r="K109" s="487">
        <f t="shared" si="2"/>
        <v>935426.8534610999</v>
      </c>
      <c r="L109" s="596">
        <f t="shared" si="2"/>
        <v>936362.28031456086</v>
      </c>
      <c r="M109" s="583">
        <f t="shared" si="2"/>
        <v>937298.6425948753</v>
      </c>
      <c r="N109" s="487">
        <f t="shared" si="2"/>
        <v>938673.42980089737</v>
      </c>
      <c r="O109" s="487">
        <f t="shared" si="2"/>
        <v>940050.46677125245</v>
      </c>
      <c r="P109" s="487">
        <f t="shared" si="2"/>
        <v>941429.75750565878</v>
      </c>
      <c r="Q109" s="487">
        <f t="shared" si="2"/>
        <v>942811.30601133488</v>
      </c>
      <c r="R109" s="487">
        <f t="shared" si="2"/>
        <v>944195.11630301294</v>
      </c>
      <c r="S109" s="488">
        <f t="shared" si="2"/>
        <v>945581.1924029541</v>
      </c>
      <c r="T109" s="483"/>
      <c r="U109" s="483"/>
      <c r="V109" s="483"/>
      <c r="W109" s="483"/>
      <c r="X109" s="483"/>
      <c r="Y109" s="483"/>
      <c r="Z109" s="483"/>
      <c r="AA109" s="483"/>
      <c r="AB109" s="483"/>
      <c r="AC109" s="483"/>
      <c r="AD109" s="483"/>
      <c r="AE109" s="483"/>
      <c r="AF109" s="483"/>
      <c r="AG109" s="483"/>
      <c r="AH109" s="483"/>
      <c r="AI109" s="483"/>
      <c r="AJ109" s="483"/>
      <c r="AK109" s="483"/>
      <c r="AL109" s="483"/>
      <c r="AM109" s="483"/>
      <c r="AN109" s="483"/>
      <c r="AO109" s="483"/>
      <c r="AP109" s="483"/>
      <c r="AQ109" s="483"/>
      <c r="AR109" s="483"/>
      <c r="AS109" s="483"/>
      <c r="AT109" s="483"/>
      <c r="AU109" s="483"/>
      <c r="AV109" s="483"/>
      <c r="AW109" s="483"/>
      <c r="AX109" s="483"/>
      <c r="AY109" s="483"/>
      <c r="AZ109" s="483"/>
      <c r="BA109" s="483"/>
      <c r="BB109" s="483"/>
      <c r="BC109" s="483"/>
      <c r="BD109" s="483"/>
      <c r="BE109" s="483"/>
    </row>
    <row r="110" spans="6:70" s="482" customFormat="1" hidden="1" x14ac:dyDescent="0.25">
      <c r="F110" s="483"/>
      <c r="G110" s="571" t="s">
        <v>397</v>
      </c>
      <c r="H110" s="513"/>
      <c r="I110" s="636"/>
      <c r="J110" s="494"/>
      <c r="K110" s="494"/>
      <c r="L110" s="597"/>
      <c r="M110" s="494"/>
      <c r="N110" s="494"/>
      <c r="O110" s="494"/>
      <c r="P110" s="494"/>
      <c r="Q110" s="494"/>
      <c r="R110" s="494"/>
      <c r="S110" s="497"/>
      <c r="T110" s="483"/>
      <c r="U110" s="483"/>
      <c r="V110" s="483"/>
      <c r="W110" s="483"/>
      <c r="X110" s="483"/>
      <c r="Y110" s="483"/>
      <c r="Z110" s="483"/>
      <c r="AA110" s="483"/>
      <c r="AB110" s="483"/>
      <c r="AC110" s="483"/>
      <c r="AD110" s="483"/>
      <c r="AE110" s="483"/>
      <c r="AF110" s="483"/>
      <c r="AG110" s="483"/>
      <c r="AH110" s="483"/>
      <c r="AI110" s="483"/>
      <c r="AJ110" s="483"/>
      <c r="AK110" s="483"/>
      <c r="AL110" s="483"/>
      <c r="AM110" s="483"/>
      <c r="AN110" s="483"/>
      <c r="AO110" s="483"/>
      <c r="AP110" s="483"/>
      <c r="AQ110" s="483"/>
      <c r="AR110" s="483"/>
      <c r="AS110" s="483"/>
      <c r="AT110" s="483"/>
      <c r="AU110" s="483"/>
      <c r="AV110" s="483"/>
      <c r="AW110" s="483"/>
      <c r="AX110" s="483"/>
      <c r="AY110" s="483"/>
      <c r="AZ110" s="483"/>
      <c r="BA110" s="483"/>
      <c r="BB110" s="483"/>
      <c r="BC110" s="483"/>
      <c r="BD110" s="483"/>
      <c r="BE110" s="483"/>
    </row>
    <row r="111" spans="6:70" s="482" customFormat="1" ht="16.5" hidden="1" customHeight="1" x14ac:dyDescent="0.25">
      <c r="F111" s="483"/>
      <c r="G111" s="572" t="s">
        <v>398</v>
      </c>
      <c r="H111" s="513" t="s">
        <v>519</v>
      </c>
      <c r="I111" s="634">
        <v>436091.5</v>
      </c>
      <c r="J111" s="489">
        <f>I111*1.0002</f>
        <v>436178.71830000001</v>
      </c>
      <c r="K111" s="489">
        <f>J111*1.001</f>
        <v>436614.89701829996</v>
      </c>
      <c r="L111" s="598">
        <f>K111*1.001</f>
        <v>437051.5119153182</v>
      </c>
      <c r="M111" s="496">
        <f>L111*1.001</f>
        <v>437488.56342723349</v>
      </c>
      <c r="N111" s="489">
        <f t="shared" ref="N111:S111" si="3">M111*1.002</f>
        <v>438363.54055408796</v>
      </c>
      <c r="O111" s="489">
        <f t="shared" si="3"/>
        <v>439240.26763519616</v>
      </c>
      <c r="P111" s="489">
        <f t="shared" si="3"/>
        <v>440118.74817046657</v>
      </c>
      <c r="Q111" s="489">
        <f t="shared" si="3"/>
        <v>440998.98566680751</v>
      </c>
      <c r="R111" s="489">
        <f t="shared" si="3"/>
        <v>441880.98363814113</v>
      </c>
      <c r="S111" s="489">
        <f t="shared" si="3"/>
        <v>442764.74560541741</v>
      </c>
      <c r="T111" s="483"/>
      <c r="U111" s="483"/>
      <c r="V111" s="483"/>
      <c r="W111" s="483"/>
      <c r="X111" s="483"/>
      <c r="Y111" s="483"/>
      <c r="Z111" s="483"/>
      <c r="AA111" s="483"/>
      <c r="AB111" s="483"/>
      <c r="AC111" s="483"/>
      <c r="AD111" s="483"/>
      <c r="AE111" s="483"/>
      <c r="AF111" s="483"/>
      <c r="AG111" s="483"/>
      <c r="AH111" s="483"/>
      <c r="AI111" s="483"/>
      <c r="AJ111" s="483"/>
      <c r="AK111" s="483"/>
      <c r="AL111" s="483"/>
      <c r="AM111" s="483"/>
      <c r="AN111" s="483"/>
      <c r="AO111" s="483"/>
      <c r="AP111" s="483"/>
      <c r="AQ111" s="483"/>
      <c r="AR111" s="483"/>
      <c r="AS111" s="483"/>
      <c r="AT111" s="483"/>
      <c r="AU111" s="483"/>
      <c r="AV111" s="483"/>
      <c r="AW111" s="483"/>
      <c r="AX111" s="483"/>
      <c r="AY111" s="483"/>
      <c r="AZ111" s="483"/>
      <c r="BA111" s="483"/>
      <c r="BB111" s="483"/>
      <c r="BC111" s="483"/>
      <c r="BD111" s="483"/>
      <c r="BE111" s="483"/>
    </row>
    <row r="112" spans="6:70" s="482" customFormat="1" ht="17.25" hidden="1" customHeight="1" x14ac:dyDescent="0.25">
      <c r="F112" s="483"/>
      <c r="G112" s="571" t="s">
        <v>629</v>
      </c>
      <c r="H112" s="513" t="s">
        <v>519</v>
      </c>
      <c r="I112" s="634">
        <f t="shared" ref="I112:S113" si="4">I111</f>
        <v>436091.5</v>
      </c>
      <c r="J112" s="412">
        <f t="shared" si="4"/>
        <v>436178.71830000001</v>
      </c>
      <c r="K112" s="489">
        <f t="shared" si="4"/>
        <v>436614.89701829996</v>
      </c>
      <c r="L112" s="598">
        <f t="shared" si="4"/>
        <v>437051.5119153182</v>
      </c>
      <c r="M112" s="496">
        <f t="shared" si="4"/>
        <v>437488.56342723349</v>
      </c>
      <c r="N112" s="489">
        <f t="shared" si="4"/>
        <v>438363.54055408796</v>
      </c>
      <c r="O112" s="489">
        <f t="shared" si="4"/>
        <v>439240.26763519616</v>
      </c>
      <c r="P112" s="489">
        <f t="shared" si="4"/>
        <v>440118.74817046657</v>
      </c>
      <c r="Q112" s="489">
        <f t="shared" si="4"/>
        <v>440998.98566680751</v>
      </c>
      <c r="R112" s="489">
        <f t="shared" si="4"/>
        <v>441880.98363814113</v>
      </c>
      <c r="S112" s="498">
        <f t="shared" si="4"/>
        <v>442764.74560541741</v>
      </c>
      <c r="T112" s="483"/>
      <c r="U112" s="483"/>
      <c r="V112" s="483"/>
      <c r="W112" s="483"/>
      <c r="X112" s="483"/>
      <c r="Y112" s="483"/>
      <c r="Z112" s="483"/>
      <c r="AA112" s="483"/>
      <c r="AB112" s="483"/>
      <c r="AC112" s="483"/>
      <c r="AD112" s="483"/>
      <c r="AE112" s="483"/>
      <c r="AF112" s="483"/>
      <c r="AG112" s="483"/>
      <c r="AH112" s="483"/>
      <c r="AI112" s="483"/>
      <c r="AJ112" s="483"/>
      <c r="AK112" s="483"/>
      <c r="AL112" s="483"/>
      <c r="AM112" s="483"/>
      <c r="AN112" s="483"/>
      <c r="AO112" s="483"/>
      <c r="AP112" s="483"/>
      <c r="AQ112" s="483"/>
      <c r="AR112" s="483"/>
      <c r="AS112" s="483"/>
      <c r="AT112" s="483"/>
      <c r="AU112" s="483"/>
      <c r="AV112" s="483"/>
      <c r="AW112" s="483"/>
      <c r="AX112" s="483"/>
      <c r="AY112" s="483"/>
      <c r="AZ112" s="483"/>
      <c r="BA112" s="483"/>
      <c r="BB112" s="483"/>
      <c r="BC112" s="483"/>
      <c r="BD112" s="483"/>
      <c r="BE112" s="483"/>
    </row>
    <row r="113" spans="6:57" s="482" customFormat="1" ht="33" hidden="1" customHeight="1" x14ac:dyDescent="0.25">
      <c r="F113" s="483"/>
      <c r="G113" s="571" t="s">
        <v>624</v>
      </c>
      <c r="H113" s="513" t="s">
        <v>519</v>
      </c>
      <c r="I113" s="634">
        <v>0</v>
      </c>
      <c r="J113" s="412">
        <v>0</v>
      </c>
      <c r="K113" s="489">
        <f>K112*0.3</f>
        <v>130984.46910548999</v>
      </c>
      <c r="L113" s="598">
        <f>L112</f>
        <v>437051.5119153182</v>
      </c>
      <c r="M113" s="496">
        <f t="shared" si="4"/>
        <v>437488.56342723349</v>
      </c>
      <c r="N113" s="489">
        <f t="shared" si="4"/>
        <v>438363.54055408796</v>
      </c>
      <c r="O113" s="489">
        <f t="shared" si="4"/>
        <v>439240.26763519616</v>
      </c>
      <c r="P113" s="489">
        <f t="shared" si="4"/>
        <v>440118.74817046657</v>
      </c>
      <c r="Q113" s="489">
        <f t="shared" si="4"/>
        <v>440998.98566680751</v>
      </c>
      <c r="R113" s="489">
        <f t="shared" si="4"/>
        <v>441880.98363814113</v>
      </c>
      <c r="S113" s="489">
        <f t="shared" si="4"/>
        <v>442764.74560541741</v>
      </c>
      <c r="T113" s="483"/>
      <c r="U113" s="483"/>
      <c r="V113" s="483"/>
      <c r="W113" s="483"/>
      <c r="X113" s="483"/>
      <c r="Y113" s="483"/>
      <c r="Z113" s="483"/>
      <c r="AA113" s="483"/>
      <c r="AB113" s="483"/>
      <c r="AC113" s="483"/>
      <c r="AD113" s="483"/>
      <c r="AE113" s="483"/>
      <c r="AF113" s="483"/>
      <c r="AG113" s="483"/>
      <c r="AH113" s="483"/>
      <c r="AI113" s="483"/>
      <c r="AJ113" s="483"/>
      <c r="AK113" s="483"/>
      <c r="AL113" s="483"/>
      <c r="AM113" s="483"/>
      <c r="AN113" s="483"/>
      <c r="AO113" s="483"/>
      <c r="AP113" s="483"/>
      <c r="AQ113" s="483"/>
      <c r="AR113" s="483"/>
      <c r="AS113" s="483"/>
      <c r="AT113" s="483"/>
      <c r="AU113" s="483"/>
      <c r="AV113" s="483"/>
      <c r="AW113" s="483"/>
      <c r="AX113" s="483"/>
      <c r="AY113" s="483"/>
      <c r="AZ113" s="483"/>
      <c r="BA113" s="483"/>
      <c r="BB113" s="483"/>
      <c r="BC113" s="483"/>
      <c r="BD113" s="483"/>
      <c r="BE113" s="483"/>
    </row>
    <row r="114" spans="6:57" s="482" customFormat="1" ht="30" hidden="1" customHeight="1" x14ac:dyDescent="0.25">
      <c r="F114" s="483" t="s">
        <v>622</v>
      </c>
      <c r="G114" s="571" t="s">
        <v>623</v>
      </c>
      <c r="H114" s="513" t="s">
        <v>519</v>
      </c>
      <c r="I114" s="637"/>
      <c r="J114" s="496">
        <f>J112*0.25</f>
        <v>109044.679575</v>
      </c>
      <c r="K114" s="496">
        <f>K112*0.7</f>
        <v>305630.42791280994</v>
      </c>
      <c r="L114" s="599">
        <f t="shared" ref="L114:S114" si="5">L112</f>
        <v>437051.5119153182</v>
      </c>
      <c r="M114" s="496">
        <f t="shared" si="5"/>
        <v>437488.56342723349</v>
      </c>
      <c r="N114" s="496">
        <f t="shared" si="5"/>
        <v>438363.54055408796</v>
      </c>
      <c r="O114" s="496">
        <f t="shared" si="5"/>
        <v>439240.26763519616</v>
      </c>
      <c r="P114" s="496">
        <f t="shared" si="5"/>
        <v>440118.74817046657</v>
      </c>
      <c r="Q114" s="496">
        <f t="shared" si="5"/>
        <v>440998.98566680751</v>
      </c>
      <c r="R114" s="496">
        <f t="shared" si="5"/>
        <v>441880.98363814113</v>
      </c>
      <c r="S114" s="499">
        <f t="shared" si="5"/>
        <v>442764.74560541741</v>
      </c>
      <c r="T114" s="483"/>
      <c r="U114" s="483"/>
      <c r="V114" s="483"/>
      <c r="W114" s="483"/>
      <c r="X114" s="483"/>
      <c r="Y114" s="483"/>
      <c r="Z114" s="483"/>
      <c r="AA114" s="483"/>
      <c r="AB114" s="483"/>
      <c r="AC114" s="483"/>
      <c r="AD114" s="483"/>
      <c r="AE114" s="483"/>
      <c r="AF114" s="483"/>
      <c r="AG114" s="483"/>
      <c r="AH114" s="483"/>
      <c r="AI114" s="483"/>
      <c r="AJ114" s="483"/>
      <c r="AK114" s="483"/>
      <c r="AL114" s="483"/>
      <c r="AM114" s="483"/>
      <c r="AN114" s="483"/>
      <c r="AO114" s="483"/>
      <c r="AP114" s="483"/>
      <c r="AQ114" s="483"/>
      <c r="AR114" s="483"/>
      <c r="AS114" s="483"/>
      <c r="AT114" s="483"/>
      <c r="AU114" s="483"/>
      <c r="AV114" s="483"/>
      <c r="AW114" s="483"/>
      <c r="AX114" s="483"/>
      <c r="AY114" s="483"/>
      <c r="AZ114" s="483"/>
      <c r="BA114" s="483"/>
      <c r="BB114" s="483"/>
      <c r="BC114" s="483"/>
      <c r="BD114" s="483"/>
      <c r="BE114" s="483"/>
    </row>
    <row r="115" spans="6:57" s="482" customFormat="1" ht="19.5" hidden="1" customHeight="1" thickBot="1" x14ac:dyDescent="0.3">
      <c r="F115" s="483"/>
      <c r="G115" s="573" t="s">
        <v>613</v>
      </c>
      <c r="H115" s="514" t="s">
        <v>519</v>
      </c>
      <c r="I115" s="638">
        <f t="shared" ref="I115:S115" si="6">I112-I114</f>
        <v>436091.5</v>
      </c>
      <c r="J115" s="501">
        <f t="shared" si="6"/>
        <v>327134.03872499999</v>
      </c>
      <c r="K115" s="501">
        <f t="shared" si="6"/>
        <v>130984.46910549002</v>
      </c>
      <c r="L115" s="600">
        <f t="shared" si="6"/>
        <v>0</v>
      </c>
      <c r="M115" s="501">
        <f t="shared" si="6"/>
        <v>0</v>
      </c>
      <c r="N115" s="501">
        <f t="shared" si="6"/>
        <v>0</v>
      </c>
      <c r="O115" s="501">
        <f t="shared" si="6"/>
        <v>0</v>
      </c>
      <c r="P115" s="501">
        <f t="shared" si="6"/>
        <v>0</v>
      </c>
      <c r="Q115" s="501">
        <f t="shared" si="6"/>
        <v>0</v>
      </c>
      <c r="R115" s="500">
        <f t="shared" si="6"/>
        <v>0</v>
      </c>
      <c r="S115" s="502">
        <f t="shared" si="6"/>
        <v>0</v>
      </c>
      <c r="T115" s="483"/>
      <c r="U115" s="483"/>
      <c r="V115" s="483"/>
      <c r="W115" s="483"/>
      <c r="X115" s="483"/>
      <c r="Y115" s="483"/>
      <c r="Z115" s="483"/>
      <c r="AA115" s="483"/>
      <c r="AB115" s="483"/>
      <c r="AC115" s="483"/>
      <c r="AD115" s="483"/>
      <c r="AE115" s="483"/>
      <c r="AF115" s="483"/>
      <c r="AG115" s="483"/>
      <c r="AH115" s="483"/>
      <c r="AI115" s="483"/>
      <c r="AJ115" s="483"/>
      <c r="AK115" s="483"/>
      <c r="AL115" s="483"/>
      <c r="AM115" s="483"/>
      <c r="AN115" s="483"/>
      <c r="AO115" s="483"/>
      <c r="AP115" s="483"/>
      <c r="AQ115" s="483"/>
      <c r="AR115" s="483"/>
      <c r="AS115" s="483"/>
      <c r="AT115" s="483"/>
      <c r="AU115" s="483"/>
      <c r="AV115" s="483"/>
      <c r="AW115" s="483"/>
      <c r="AX115" s="483"/>
      <c r="AY115" s="483"/>
      <c r="AZ115" s="483"/>
      <c r="BA115" s="483"/>
      <c r="BB115" s="483"/>
      <c r="BC115" s="483"/>
      <c r="BD115" s="483"/>
      <c r="BE115" s="483"/>
    </row>
    <row r="116" spans="6:57" s="482" customFormat="1" ht="12" hidden="1" customHeight="1" x14ac:dyDescent="0.25">
      <c r="F116" s="483"/>
      <c r="G116" s="574"/>
      <c r="H116" s="404"/>
      <c r="I116" s="631"/>
      <c r="J116" s="409"/>
      <c r="K116" s="409">
        <f>K111/J111</f>
        <v>1.0009999999999999</v>
      </c>
      <c r="L116" s="592"/>
      <c r="M116" s="582"/>
      <c r="N116" s="409"/>
      <c r="O116" s="409"/>
      <c r="P116" s="409"/>
      <c r="Q116" s="409"/>
      <c r="R116" s="409"/>
      <c r="S116" s="409"/>
      <c r="T116" s="483"/>
      <c r="U116" s="483"/>
      <c r="V116" s="483"/>
      <c r="W116" s="483"/>
      <c r="X116" s="483"/>
      <c r="Y116" s="483"/>
      <c r="Z116" s="483"/>
      <c r="AA116" s="483"/>
      <c r="AB116" s="483"/>
      <c r="AC116" s="483"/>
      <c r="AD116" s="483"/>
      <c r="AE116" s="483"/>
      <c r="AF116" s="483"/>
      <c r="AG116" s="483"/>
      <c r="AH116" s="483"/>
      <c r="AI116" s="483"/>
      <c r="AJ116" s="483"/>
      <c r="AK116" s="483"/>
      <c r="AL116" s="483"/>
      <c r="AM116" s="483"/>
      <c r="AN116" s="483"/>
      <c r="AO116" s="483"/>
      <c r="AP116" s="483"/>
      <c r="AQ116" s="483"/>
      <c r="AR116" s="483"/>
      <c r="AS116" s="483"/>
      <c r="AT116" s="483"/>
      <c r="AU116" s="483"/>
      <c r="AV116" s="483"/>
      <c r="AW116" s="483"/>
      <c r="AX116" s="483"/>
      <c r="AY116" s="483"/>
      <c r="AZ116" s="483"/>
      <c r="BA116" s="483"/>
      <c r="BB116" s="483"/>
      <c r="BC116" s="483"/>
      <c r="BD116" s="483"/>
      <c r="BE116" s="483"/>
    </row>
    <row r="117" spans="6:57" s="482" customFormat="1" ht="15.75" hidden="1" customHeight="1" thickBot="1" x14ac:dyDescent="0.3">
      <c r="F117" s="483"/>
      <c r="G117" s="567"/>
      <c r="H117" s="404"/>
      <c r="I117" s="631"/>
      <c r="J117" s="410"/>
      <c r="K117" s="410" t="s">
        <v>627</v>
      </c>
      <c r="L117" s="591"/>
      <c r="M117" s="581"/>
      <c r="N117" s="410"/>
      <c r="O117" s="410"/>
      <c r="P117" s="410"/>
      <c r="Q117" s="410"/>
      <c r="R117" s="410"/>
      <c r="S117" s="410"/>
      <c r="T117" s="483"/>
      <c r="U117" s="483"/>
      <c r="V117" s="483"/>
      <c r="W117" s="483"/>
      <c r="X117" s="483"/>
      <c r="Y117" s="483"/>
      <c r="Z117" s="483"/>
      <c r="AA117" s="483"/>
      <c r="AB117" s="483"/>
      <c r="AC117" s="483"/>
      <c r="AD117" s="483"/>
      <c r="AE117" s="483"/>
      <c r="AF117" s="483"/>
      <c r="AG117" s="483"/>
      <c r="AH117" s="483"/>
      <c r="AI117" s="483"/>
      <c r="AJ117" s="483"/>
      <c r="AK117" s="483"/>
      <c r="AL117" s="483"/>
      <c r="AM117" s="483"/>
      <c r="AN117" s="483"/>
      <c r="AO117" s="483"/>
      <c r="AP117" s="483"/>
      <c r="AQ117" s="483"/>
      <c r="AR117" s="483"/>
      <c r="AS117" s="483"/>
      <c r="AT117" s="483"/>
      <c r="AU117" s="483"/>
      <c r="AV117" s="483"/>
      <c r="AW117" s="483"/>
      <c r="AX117" s="483"/>
      <c r="AY117" s="483"/>
      <c r="AZ117" s="483"/>
      <c r="BA117" s="483"/>
      <c r="BB117" s="483"/>
      <c r="BC117" s="483"/>
      <c r="BD117" s="483"/>
      <c r="BE117" s="483"/>
    </row>
    <row r="118" spans="6:57" s="482" customFormat="1" ht="15.75" hidden="1" thickBot="1" x14ac:dyDescent="0.3">
      <c r="F118" s="483"/>
      <c r="G118" s="575" t="s">
        <v>599</v>
      </c>
      <c r="H118" s="509" t="s">
        <v>519</v>
      </c>
      <c r="I118" s="632">
        <f>I109-I111</f>
        <v>498214</v>
      </c>
      <c r="J118" s="411">
        <f>I118*1.0002</f>
        <v>498313.64279999997</v>
      </c>
      <c r="K118" s="487">
        <f t="shared" ref="K118:S118" si="7">J118*1.001</f>
        <v>498811.95644279994</v>
      </c>
      <c r="L118" s="596">
        <f t="shared" si="7"/>
        <v>499310.76839924266</v>
      </c>
      <c r="M118" s="583">
        <f>L118*1.001</f>
        <v>499810.07916764187</v>
      </c>
      <c r="N118" s="487">
        <f t="shared" si="7"/>
        <v>500309.88924680947</v>
      </c>
      <c r="O118" s="487">
        <f t="shared" si="7"/>
        <v>500810.19913605624</v>
      </c>
      <c r="P118" s="487">
        <f t="shared" si="7"/>
        <v>501311.00933519221</v>
      </c>
      <c r="Q118" s="487">
        <f t="shared" si="7"/>
        <v>501812.32034452737</v>
      </c>
      <c r="R118" s="487">
        <f t="shared" si="7"/>
        <v>502314.13266487187</v>
      </c>
      <c r="S118" s="487">
        <f t="shared" si="7"/>
        <v>502816.44679753669</v>
      </c>
      <c r="T118" s="483"/>
      <c r="U118" s="483"/>
      <c r="V118" s="483"/>
      <c r="W118" s="483"/>
      <c r="X118" s="483"/>
      <c r="Y118" s="483"/>
      <c r="Z118" s="483"/>
      <c r="AA118" s="483"/>
      <c r="AB118" s="483"/>
      <c r="AC118" s="483"/>
      <c r="AD118" s="483"/>
      <c r="AE118" s="483"/>
      <c r="AF118" s="483"/>
      <c r="AG118" s="483"/>
      <c r="AH118" s="483"/>
      <c r="AI118" s="483"/>
      <c r="AJ118" s="483"/>
      <c r="AK118" s="483"/>
      <c r="AL118" s="483"/>
      <c r="AM118" s="483"/>
      <c r="AN118" s="483"/>
      <c r="AO118" s="483"/>
      <c r="AP118" s="483"/>
      <c r="AQ118" s="483"/>
      <c r="AR118" s="483"/>
      <c r="AS118" s="483"/>
      <c r="AT118" s="483"/>
      <c r="AU118" s="483"/>
      <c r="AV118" s="483"/>
      <c r="AW118" s="483"/>
      <c r="AX118" s="483"/>
      <c r="AY118" s="483"/>
      <c r="AZ118" s="483"/>
      <c r="BA118" s="483"/>
      <c r="BB118" s="483"/>
      <c r="BC118" s="483"/>
      <c r="BD118" s="483"/>
      <c r="BE118" s="483"/>
    </row>
    <row r="119" spans="6:57" s="482" customFormat="1" ht="18.75" hidden="1" customHeight="1" thickBot="1" x14ac:dyDescent="0.3">
      <c r="F119" s="483"/>
      <c r="G119" s="571" t="s">
        <v>614</v>
      </c>
      <c r="H119" s="514" t="s">
        <v>519</v>
      </c>
      <c r="I119" s="628">
        <f>I118*0.71</f>
        <v>353731.94</v>
      </c>
      <c r="J119" s="407">
        <f>J118*0.723</f>
        <v>360280.76374439994</v>
      </c>
      <c r="K119" s="407">
        <f>K118*0.8</f>
        <v>399049.56515424</v>
      </c>
      <c r="L119" s="589">
        <f>L118*0.8</f>
        <v>399448.61471939413</v>
      </c>
      <c r="M119" s="496">
        <f>M118*0.8</f>
        <v>399848.06333411351</v>
      </c>
      <c r="N119" s="407">
        <f>N118*0.81</f>
        <v>405251.01028991572</v>
      </c>
      <c r="O119" s="407">
        <f>O118*0.82</f>
        <v>410664.36329156609</v>
      </c>
      <c r="P119" s="407">
        <f>P118*0.83</f>
        <v>416088.13774820953</v>
      </c>
      <c r="Q119" s="407">
        <f>Q118*0.84</f>
        <v>421522.349089403</v>
      </c>
      <c r="R119" s="407">
        <f>R118*0.84</f>
        <v>421943.87143849238</v>
      </c>
      <c r="S119" s="503">
        <f>S118*0.85</f>
        <v>427393.97977790615</v>
      </c>
      <c r="T119" s="483"/>
      <c r="U119" s="483"/>
      <c r="V119" s="483"/>
      <c r="W119" s="483"/>
      <c r="X119" s="483"/>
      <c r="Y119" s="483"/>
      <c r="Z119" s="483"/>
      <c r="AA119" s="483"/>
      <c r="AB119" s="483"/>
      <c r="AC119" s="483"/>
      <c r="AD119" s="483"/>
      <c r="AE119" s="483"/>
      <c r="AF119" s="483"/>
      <c r="AG119" s="483"/>
      <c r="AH119" s="483"/>
      <c r="AI119" s="483"/>
      <c r="AJ119" s="483"/>
      <c r="AK119" s="483"/>
      <c r="AL119" s="483"/>
      <c r="AM119" s="483"/>
      <c r="AN119" s="483"/>
      <c r="AO119" s="483"/>
      <c r="AP119" s="483"/>
      <c r="AQ119" s="483"/>
      <c r="AR119" s="483"/>
      <c r="AS119" s="483"/>
      <c r="AT119" s="483"/>
      <c r="AU119" s="483"/>
      <c r="AV119" s="483"/>
      <c r="AW119" s="483"/>
      <c r="AX119" s="483"/>
      <c r="AY119" s="483"/>
      <c r="AZ119" s="483"/>
      <c r="BA119" s="483"/>
      <c r="BB119" s="483"/>
      <c r="BC119" s="483"/>
      <c r="BD119" s="483"/>
      <c r="BE119" s="483"/>
    </row>
    <row r="120" spans="6:57" s="482" customFormat="1" ht="15.75" hidden="1" thickBot="1" x14ac:dyDescent="0.3">
      <c r="F120" s="483"/>
      <c r="G120" s="571" t="s">
        <v>615</v>
      </c>
      <c r="H120" s="514" t="s">
        <v>519</v>
      </c>
      <c r="I120" s="628">
        <f>I119*0.19</f>
        <v>67209.068599999999</v>
      </c>
      <c r="J120" s="407">
        <f>J119*0.35</f>
        <v>126098.26731053997</v>
      </c>
      <c r="K120" s="407">
        <f>K119*0.7</f>
        <v>279334.69560796797</v>
      </c>
      <c r="L120" s="589">
        <f>L119</f>
        <v>399448.61471939413</v>
      </c>
      <c r="M120" s="496">
        <f t="shared" ref="M120:S120" si="8">M119</f>
        <v>399848.06333411351</v>
      </c>
      <c r="N120" s="407">
        <f t="shared" si="8"/>
        <v>405251.01028991572</v>
      </c>
      <c r="O120" s="407">
        <f t="shared" si="8"/>
        <v>410664.36329156609</v>
      </c>
      <c r="P120" s="407">
        <f t="shared" si="8"/>
        <v>416088.13774820953</v>
      </c>
      <c r="Q120" s="407">
        <f t="shared" si="8"/>
        <v>421522.349089403</v>
      </c>
      <c r="R120" s="407">
        <f t="shared" si="8"/>
        <v>421943.87143849238</v>
      </c>
      <c r="S120" s="503">
        <f t="shared" si="8"/>
        <v>427393.97977790615</v>
      </c>
      <c r="T120" s="483"/>
      <c r="U120" s="483"/>
      <c r="V120" s="483"/>
      <c r="W120" s="483"/>
      <c r="X120" s="483"/>
      <c r="Y120" s="483"/>
      <c r="Z120" s="483"/>
      <c r="AA120" s="483"/>
      <c r="AB120" s="483"/>
      <c r="AC120" s="483"/>
      <c r="AD120" s="483"/>
      <c r="AE120" s="483"/>
      <c r="AF120" s="483"/>
      <c r="AG120" s="483"/>
      <c r="AH120" s="483"/>
      <c r="AI120" s="483"/>
      <c r="AJ120" s="483"/>
      <c r="AK120" s="483"/>
      <c r="AL120" s="483"/>
      <c r="AM120" s="483"/>
      <c r="AN120" s="483"/>
      <c r="AO120" s="483"/>
      <c r="AP120" s="483"/>
      <c r="AQ120" s="483"/>
      <c r="AR120" s="483"/>
      <c r="AS120" s="483"/>
      <c r="AT120" s="483"/>
      <c r="AU120" s="483"/>
      <c r="AV120" s="483"/>
      <c r="AW120" s="483"/>
      <c r="AX120" s="483"/>
      <c r="AY120" s="483"/>
      <c r="AZ120" s="483"/>
      <c r="BA120" s="483"/>
      <c r="BB120" s="483"/>
      <c r="BC120" s="483"/>
      <c r="BD120" s="483"/>
      <c r="BE120" s="483"/>
    </row>
    <row r="121" spans="6:57" s="482" customFormat="1" ht="15.75" hidden="1" customHeight="1" thickBot="1" x14ac:dyDescent="0.3">
      <c r="F121" s="483"/>
      <c r="G121" s="576" t="s">
        <v>616</v>
      </c>
      <c r="H121" s="514" t="s">
        <v>519</v>
      </c>
      <c r="I121" s="629">
        <f t="shared" ref="I121:S121" si="9">I119-I120</f>
        <v>286522.8714</v>
      </c>
      <c r="J121" s="505">
        <f t="shared" si="9"/>
        <v>234182.49643385998</v>
      </c>
      <c r="K121" s="505">
        <f t="shared" si="9"/>
        <v>119714.86954627204</v>
      </c>
      <c r="L121" s="590">
        <f t="shared" si="9"/>
        <v>0</v>
      </c>
      <c r="M121" s="408">
        <f t="shared" si="9"/>
        <v>0</v>
      </c>
      <c r="N121" s="492">
        <f t="shared" si="9"/>
        <v>0</v>
      </c>
      <c r="O121" s="492">
        <f t="shared" si="9"/>
        <v>0</v>
      </c>
      <c r="P121" s="492">
        <f t="shared" si="9"/>
        <v>0</v>
      </c>
      <c r="Q121" s="492">
        <f t="shared" si="9"/>
        <v>0</v>
      </c>
      <c r="R121" s="492">
        <f t="shared" si="9"/>
        <v>0</v>
      </c>
      <c r="S121" s="506">
        <f t="shared" si="9"/>
        <v>0</v>
      </c>
      <c r="T121" s="483"/>
      <c r="U121" s="483"/>
      <c r="V121" s="483"/>
      <c r="W121" s="483"/>
      <c r="X121" s="483"/>
      <c r="Y121" s="483"/>
      <c r="Z121" s="483"/>
      <c r="AA121" s="483"/>
      <c r="AB121" s="483"/>
      <c r="AC121" s="483"/>
      <c r="AD121" s="483"/>
      <c r="AE121" s="483"/>
      <c r="AF121" s="483"/>
      <c r="AG121" s="483"/>
      <c r="AH121" s="483"/>
      <c r="AI121" s="483"/>
      <c r="AJ121" s="483"/>
      <c r="AK121" s="483"/>
      <c r="AL121" s="483"/>
      <c r="AM121" s="483"/>
      <c r="AN121" s="483"/>
      <c r="AO121" s="483"/>
      <c r="AP121" s="483"/>
      <c r="AQ121" s="483"/>
      <c r="AR121" s="483"/>
      <c r="AS121" s="483"/>
      <c r="AT121" s="483"/>
      <c r="AU121" s="483"/>
      <c r="AV121" s="483"/>
      <c r="AW121" s="483"/>
      <c r="AX121" s="483"/>
      <c r="AY121" s="483"/>
      <c r="AZ121" s="483"/>
      <c r="BA121" s="483"/>
      <c r="BB121" s="483"/>
      <c r="BC121" s="483"/>
      <c r="BD121" s="483"/>
      <c r="BE121" s="483"/>
    </row>
    <row r="122" spans="6:57" s="482" customFormat="1" ht="15.75" hidden="1" thickBot="1" x14ac:dyDescent="0.3">
      <c r="F122" s="483"/>
      <c r="G122" s="577" t="s">
        <v>621</v>
      </c>
      <c r="H122" s="514" t="s">
        <v>519</v>
      </c>
      <c r="I122" s="632"/>
      <c r="J122" s="411"/>
      <c r="K122" s="411">
        <f>J122*0.97</f>
        <v>0</v>
      </c>
      <c r="L122" s="596">
        <f t="shared" ref="L122:S122" si="10">K122*0.97</f>
        <v>0</v>
      </c>
      <c r="M122" s="583">
        <f>L122*0.97</f>
        <v>0</v>
      </c>
      <c r="N122" s="487">
        <f t="shared" si="10"/>
        <v>0</v>
      </c>
      <c r="O122" s="487">
        <f t="shared" si="10"/>
        <v>0</v>
      </c>
      <c r="P122" s="487">
        <f t="shared" si="10"/>
        <v>0</v>
      </c>
      <c r="Q122" s="487">
        <f t="shared" si="10"/>
        <v>0</v>
      </c>
      <c r="R122" s="487">
        <f t="shared" si="10"/>
        <v>0</v>
      </c>
      <c r="S122" s="488">
        <f t="shared" si="10"/>
        <v>0</v>
      </c>
      <c r="T122" s="483"/>
      <c r="U122" s="483"/>
      <c r="V122" s="483"/>
      <c r="W122" s="483"/>
      <c r="X122" s="483"/>
      <c r="Y122" s="483"/>
      <c r="Z122" s="483"/>
      <c r="AA122" s="483"/>
      <c r="AB122" s="483"/>
      <c r="AC122" s="483"/>
      <c r="AD122" s="483"/>
      <c r="AE122" s="483"/>
      <c r="AF122" s="483"/>
      <c r="AG122" s="483"/>
      <c r="AH122" s="483"/>
      <c r="AI122" s="483"/>
      <c r="AJ122" s="483"/>
      <c r="AK122" s="483"/>
      <c r="AL122" s="483"/>
      <c r="AM122" s="483"/>
      <c r="AN122" s="483"/>
      <c r="AO122" s="483"/>
      <c r="AP122" s="483"/>
      <c r="AQ122" s="483"/>
      <c r="AR122" s="483"/>
      <c r="AS122" s="483"/>
      <c r="AT122" s="483"/>
      <c r="AU122" s="483"/>
      <c r="AV122" s="483"/>
      <c r="AW122" s="483"/>
      <c r="AX122" s="483"/>
      <c r="AY122" s="483"/>
      <c r="AZ122" s="483"/>
      <c r="BA122" s="483"/>
      <c r="BB122" s="483"/>
      <c r="BC122" s="483"/>
      <c r="BD122" s="483"/>
      <c r="BE122" s="483"/>
    </row>
    <row r="123" spans="6:57" s="482" customFormat="1" ht="23.25" hidden="1" customHeight="1" thickBot="1" x14ac:dyDescent="0.3">
      <c r="F123" s="483"/>
      <c r="G123" s="571" t="s">
        <v>620</v>
      </c>
      <c r="H123" s="514" t="s">
        <v>519</v>
      </c>
      <c r="I123" s="628">
        <v>0</v>
      </c>
      <c r="J123" s="406">
        <v>0</v>
      </c>
      <c r="K123" s="406">
        <v>0</v>
      </c>
      <c r="L123" s="589">
        <f>L122</f>
        <v>0</v>
      </c>
      <c r="M123" s="496">
        <f t="shared" ref="M123:S123" si="11">M122</f>
        <v>0</v>
      </c>
      <c r="N123" s="407">
        <f t="shared" si="11"/>
        <v>0</v>
      </c>
      <c r="O123" s="407">
        <f t="shared" si="11"/>
        <v>0</v>
      </c>
      <c r="P123" s="407">
        <f t="shared" si="11"/>
        <v>0</v>
      </c>
      <c r="Q123" s="407">
        <f t="shared" si="11"/>
        <v>0</v>
      </c>
      <c r="R123" s="407">
        <f t="shared" si="11"/>
        <v>0</v>
      </c>
      <c r="S123" s="503">
        <f t="shared" si="11"/>
        <v>0</v>
      </c>
      <c r="T123" s="483"/>
      <c r="U123" s="483"/>
      <c r="V123" s="483"/>
      <c r="W123" s="483"/>
      <c r="X123" s="483"/>
      <c r="Y123" s="483"/>
      <c r="Z123" s="483"/>
      <c r="AA123" s="483"/>
      <c r="AB123" s="483"/>
      <c r="AC123" s="483"/>
      <c r="AD123" s="483"/>
      <c r="AE123" s="483"/>
      <c r="AF123" s="483"/>
      <c r="AG123" s="483"/>
      <c r="AH123" s="483"/>
      <c r="AI123" s="483"/>
      <c r="AJ123" s="483"/>
      <c r="AK123" s="483"/>
      <c r="AL123" s="483"/>
      <c r="AM123" s="483"/>
      <c r="AN123" s="483"/>
      <c r="AO123" s="483"/>
      <c r="AP123" s="483"/>
      <c r="AQ123" s="483"/>
      <c r="AR123" s="483"/>
      <c r="AS123" s="483"/>
      <c r="AT123" s="483"/>
      <c r="AU123" s="483"/>
      <c r="AV123" s="483"/>
      <c r="AW123" s="483"/>
      <c r="AX123" s="483"/>
      <c r="AY123" s="483"/>
      <c r="AZ123" s="483"/>
      <c r="BA123" s="483"/>
      <c r="BB123" s="483"/>
      <c r="BC123" s="483"/>
      <c r="BD123" s="483"/>
      <c r="BE123" s="483"/>
    </row>
    <row r="124" spans="6:57" s="482" customFormat="1" ht="23.25" hidden="1" customHeight="1" thickBot="1" x14ac:dyDescent="0.3">
      <c r="F124" s="483"/>
      <c r="G124" s="573" t="s">
        <v>626</v>
      </c>
      <c r="H124" s="514" t="s">
        <v>519</v>
      </c>
      <c r="I124" s="630">
        <f t="shared" ref="I124:S124" si="12">I122-I123</f>
        <v>0</v>
      </c>
      <c r="J124" s="413">
        <f t="shared" si="12"/>
        <v>0</v>
      </c>
      <c r="K124" s="413">
        <f t="shared" si="12"/>
        <v>0</v>
      </c>
      <c r="L124" s="594">
        <f t="shared" si="12"/>
        <v>0</v>
      </c>
      <c r="M124" s="500">
        <f t="shared" si="12"/>
        <v>0</v>
      </c>
      <c r="N124" s="413">
        <f t="shared" si="12"/>
        <v>0</v>
      </c>
      <c r="O124" s="413">
        <f t="shared" si="12"/>
        <v>0</v>
      </c>
      <c r="P124" s="413">
        <f t="shared" si="12"/>
        <v>0</v>
      </c>
      <c r="Q124" s="413">
        <f t="shared" si="12"/>
        <v>0</v>
      </c>
      <c r="R124" s="413">
        <f t="shared" si="12"/>
        <v>0</v>
      </c>
      <c r="S124" s="413">
        <f t="shared" si="12"/>
        <v>0</v>
      </c>
      <c r="T124" s="483"/>
      <c r="U124" s="483"/>
      <c r="V124" s="483"/>
      <c r="W124" s="483"/>
      <c r="X124" s="483"/>
      <c r="Y124" s="483"/>
      <c r="Z124" s="483"/>
      <c r="AA124" s="483"/>
      <c r="AB124" s="483"/>
      <c r="AC124" s="483"/>
      <c r="AD124" s="483"/>
      <c r="AE124" s="483"/>
      <c r="AF124" s="483"/>
      <c r="AG124" s="483"/>
      <c r="AH124" s="483"/>
      <c r="AI124" s="483"/>
      <c r="AJ124" s="483"/>
      <c r="AK124" s="483"/>
      <c r="AL124" s="483"/>
      <c r="AM124" s="483"/>
      <c r="AN124" s="483"/>
      <c r="AO124" s="483"/>
      <c r="AP124" s="483"/>
      <c r="AQ124" s="483"/>
      <c r="AR124" s="483"/>
      <c r="AS124" s="483"/>
      <c r="AT124" s="483"/>
      <c r="AU124" s="483"/>
      <c r="AV124" s="483"/>
      <c r="AW124" s="483"/>
      <c r="AX124" s="483"/>
      <c r="AY124" s="483"/>
      <c r="AZ124" s="483"/>
      <c r="BA124" s="483"/>
      <c r="BB124" s="483"/>
      <c r="BC124" s="483"/>
      <c r="BD124" s="483"/>
      <c r="BE124" s="483"/>
    </row>
    <row r="125" spans="6:57" s="482" customFormat="1" ht="15.75" hidden="1" thickBot="1" x14ac:dyDescent="0.3">
      <c r="F125" s="483"/>
      <c r="G125" s="578" t="s">
        <v>617</v>
      </c>
      <c r="H125" s="514" t="s">
        <v>519</v>
      </c>
      <c r="I125" s="633">
        <f t="shared" ref="I125:S125" si="13">I118-I119-I122</f>
        <v>144482.06</v>
      </c>
      <c r="J125" s="486">
        <f t="shared" si="13"/>
        <v>138032.87905560003</v>
      </c>
      <c r="K125" s="486">
        <f t="shared" si="13"/>
        <v>99762.391288559942</v>
      </c>
      <c r="L125" s="601">
        <f t="shared" si="13"/>
        <v>99862.153679848532</v>
      </c>
      <c r="M125" s="584">
        <f t="shared" si="13"/>
        <v>99962.015833528363</v>
      </c>
      <c r="N125" s="486">
        <f t="shared" si="13"/>
        <v>95058.87895689375</v>
      </c>
      <c r="O125" s="486">
        <f t="shared" si="13"/>
        <v>90145.835844490153</v>
      </c>
      <c r="P125" s="486">
        <f t="shared" si="13"/>
        <v>85222.871586982685</v>
      </c>
      <c r="Q125" s="486">
        <f t="shared" si="13"/>
        <v>80289.971255124372</v>
      </c>
      <c r="R125" s="486">
        <f t="shared" si="13"/>
        <v>80370.261226379487</v>
      </c>
      <c r="S125" s="504">
        <f t="shared" si="13"/>
        <v>75422.467019630538</v>
      </c>
      <c r="T125" s="483"/>
      <c r="U125" s="483"/>
      <c r="V125" s="483"/>
      <c r="W125" s="483"/>
      <c r="X125" s="483"/>
      <c r="Y125" s="483"/>
      <c r="Z125" s="483"/>
      <c r="AA125" s="483"/>
      <c r="AB125" s="483"/>
      <c r="AC125" s="483"/>
      <c r="AD125" s="483"/>
      <c r="AE125" s="483"/>
      <c r="AF125" s="483"/>
      <c r="AG125" s="483"/>
      <c r="AH125" s="483"/>
      <c r="AI125" s="483"/>
      <c r="AJ125" s="483"/>
      <c r="AK125" s="483"/>
      <c r="AL125" s="483"/>
      <c r="AM125" s="483"/>
      <c r="AN125" s="483"/>
      <c r="AO125" s="483"/>
      <c r="AP125" s="483"/>
      <c r="AQ125" s="483"/>
      <c r="AR125" s="483"/>
      <c r="AS125" s="483"/>
      <c r="AT125" s="483"/>
      <c r="AU125" s="483"/>
      <c r="AV125" s="483"/>
      <c r="AW125" s="483"/>
      <c r="AX125" s="483"/>
      <c r="AY125" s="483"/>
      <c r="AZ125" s="483"/>
      <c r="BA125" s="483"/>
      <c r="BB125" s="483"/>
      <c r="BC125" s="483"/>
      <c r="BD125" s="483"/>
      <c r="BE125" s="483"/>
    </row>
    <row r="126" spans="6:57" s="482" customFormat="1" ht="18.75" hidden="1" customHeight="1" x14ac:dyDescent="0.25">
      <c r="F126" s="483"/>
      <c r="G126" s="568"/>
      <c r="H126" s="404"/>
      <c r="I126" s="631"/>
      <c r="J126" s="409">
        <f>J118/I118</f>
        <v>1.0002</v>
      </c>
      <c r="K126" s="409">
        <f t="shared" ref="K126:R126" si="14">K118/J118</f>
        <v>1.0009999999999999</v>
      </c>
      <c r="L126" s="592">
        <f t="shared" si="14"/>
        <v>1.0009999999999999</v>
      </c>
      <c r="M126" s="582">
        <f>M118/L118</f>
        <v>1.0009999999999999</v>
      </c>
      <c r="N126" s="409">
        <f t="shared" si="14"/>
        <v>1.0009999999999999</v>
      </c>
      <c r="O126" s="409">
        <f t="shared" si="14"/>
        <v>1.0009999999999999</v>
      </c>
      <c r="P126" s="409">
        <f t="shared" si="14"/>
        <v>1.0009999999999999</v>
      </c>
      <c r="Q126" s="409">
        <f t="shared" si="14"/>
        <v>1.0009999999999999</v>
      </c>
      <c r="R126" s="409">
        <f t="shared" si="14"/>
        <v>1.0009999999999999</v>
      </c>
      <c r="S126" s="409">
        <f>S118/R118</f>
        <v>1.0009999999999999</v>
      </c>
      <c r="T126" s="483"/>
      <c r="U126" s="483"/>
      <c r="V126" s="483"/>
      <c r="W126" s="483"/>
      <c r="X126" s="483"/>
      <c r="Y126" s="483"/>
      <c r="Z126" s="483"/>
      <c r="AA126" s="483"/>
      <c r="AB126" s="483"/>
      <c r="AC126" s="483"/>
      <c r="AD126" s="483"/>
      <c r="AE126" s="483"/>
      <c r="AF126" s="483"/>
      <c r="AG126" s="483"/>
      <c r="AH126" s="483"/>
      <c r="AI126" s="483"/>
      <c r="AJ126" s="483"/>
      <c r="AK126" s="483"/>
      <c r="AL126" s="483"/>
      <c r="AM126" s="483"/>
      <c r="AN126" s="483"/>
      <c r="AO126" s="483"/>
      <c r="AP126" s="483"/>
      <c r="AQ126" s="483"/>
      <c r="AR126" s="483"/>
      <c r="AS126" s="483"/>
      <c r="AT126" s="483"/>
      <c r="AU126" s="483"/>
      <c r="AV126" s="483"/>
      <c r="AW126" s="483"/>
      <c r="AX126" s="483"/>
      <c r="AY126" s="483"/>
      <c r="AZ126" s="483"/>
      <c r="BA126" s="483"/>
      <c r="BB126" s="483"/>
      <c r="BC126" s="483"/>
      <c r="BD126" s="483"/>
      <c r="BE126" s="483"/>
    </row>
    <row r="127" spans="6:57" s="482" customFormat="1" ht="14.25" hidden="1" customHeight="1" thickBot="1" x14ac:dyDescent="0.3">
      <c r="F127" s="483"/>
      <c r="G127" s="567"/>
      <c r="H127" s="404"/>
      <c r="I127" s="631"/>
      <c r="J127" s="409"/>
      <c r="K127" s="409"/>
      <c r="L127" s="592"/>
      <c r="M127" s="582"/>
      <c r="N127" s="409"/>
      <c r="O127" s="409"/>
      <c r="P127" s="409"/>
      <c r="Q127" s="409"/>
      <c r="R127" s="409"/>
      <c r="S127" s="409"/>
      <c r="T127" s="483"/>
      <c r="U127" s="483"/>
      <c r="V127" s="483"/>
      <c r="W127" s="483"/>
      <c r="X127" s="483"/>
      <c r="Y127" s="483"/>
      <c r="Z127" s="483"/>
      <c r="AA127" s="483"/>
      <c r="AB127" s="483"/>
      <c r="AC127" s="483"/>
      <c r="AD127" s="483"/>
      <c r="AE127" s="483"/>
      <c r="AF127" s="483"/>
      <c r="AG127" s="483"/>
      <c r="AH127" s="483"/>
      <c r="AI127" s="483"/>
      <c r="AJ127" s="483"/>
      <c r="AK127" s="483"/>
      <c r="AL127" s="483"/>
      <c r="AM127" s="483"/>
      <c r="AN127" s="483"/>
      <c r="AO127" s="483"/>
      <c r="AP127" s="483"/>
      <c r="AQ127" s="483"/>
      <c r="AR127" s="483"/>
      <c r="AS127" s="483"/>
      <c r="AT127" s="483"/>
      <c r="AU127" s="483"/>
      <c r="AV127" s="483"/>
      <c r="AW127" s="483"/>
      <c r="AX127" s="483"/>
      <c r="AY127" s="483"/>
      <c r="AZ127" s="483"/>
      <c r="BA127" s="483"/>
      <c r="BB127" s="483"/>
      <c r="BC127" s="483"/>
      <c r="BD127" s="483"/>
      <c r="BE127" s="483"/>
    </row>
    <row r="128" spans="6:57" s="482" customFormat="1" ht="31.5" hidden="1" customHeight="1" thickBot="1" x14ac:dyDescent="0.3">
      <c r="F128" s="483"/>
      <c r="G128" s="575" t="s">
        <v>619</v>
      </c>
      <c r="H128" s="515" t="s">
        <v>519</v>
      </c>
      <c r="I128" s="625">
        <f t="shared" ref="I128:S128" si="15">I119+I112+I122</f>
        <v>789823.44</v>
      </c>
      <c r="J128" s="493">
        <f t="shared" si="15"/>
        <v>796459.48204439995</v>
      </c>
      <c r="K128" s="493">
        <f t="shared" si="15"/>
        <v>835664.4621725399</v>
      </c>
      <c r="L128" s="602">
        <f t="shared" si="15"/>
        <v>836500.12663471233</v>
      </c>
      <c r="M128" s="493">
        <f t="shared" si="15"/>
        <v>837336.62676134706</v>
      </c>
      <c r="N128" s="493">
        <f t="shared" si="15"/>
        <v>843614.55084400368</v>
      </c>
      <c r="O128" s="493">
        <f t="shared" si="15"/>
        <v>849904.63092676224</v>
      </c>
      <c r="P128" s="493">
        <f t="shared" si="15"/>
        <v>856206.88591867615</v>
      </c>
      <c r="Q128" s="493">
        <f t="shared" si="15"/>
        <v>862521.33475621045</v>
      </c>
      <c r="R128" s="493">
        <f t="shared" si="15"/>
        <v>863824.85507663351</v>
      </c>
      <c r="S128" s="493">
        <f t="shared" si="15"/>
        <v>870158.72538332362</v>
      </c>
      <c r="T128" s="483"/>
      <c r="U128" s="483"/>
      <c r="V128" s="483"/>
      <c r="W128" s="483"/>
      <c r="X128" s="483"/>
      <c r="Y128" s="483"/>
      <c r="Z128" s="483"/>
      <c r="AA128" s="483"/>
      <c r="AB128" s="483"/>
      <c r="AC128" s="483"/>
      <c r="AD128" s="483"/>
      <c r="AE128" s="483"/>
      <c r="AF128" s="483"/>
      <c r="AG128" s="483"/>
      <c r="AH128" s="483"/>
      <c r="AI128" s="483"/>
      <c r="AJ128" s="483"/>
      <c r="AK128" s="483"/>
      <c r="AL128" s="483"/>
      <c r="AM128" s="483"/>
      <c r="AN128" s="483"/>
      <c r="AO128" s="483"/>
      <c r="AP128" s="483"/>
      <c r="AQ128" s="483"/>
      <c r="AR128" s="483"/>
      <c r="AS128" s="483"/>
      <c r="AT128" s="483"/>
      <c r="AU128" s="483"/>
      <c r="AV128" s="483"/>
      <c r="AW128" s="483"/>
      <c r="AX128" s="483"/>
      <c r="AY128" s="483"/>
      <c r="AZ128" s="483"/>
      <c r="BA128" s="483"/>
      <c r="BB128" s="483"/>
      <c r="BC128" s="483"/>
      <c r="BD128" s="483"/>
      <c r="BE128" s="483"/>
    </row>
    <row r="129" spans="5:57" s="482" customFormat="1" ht="18.75" hidden="1" customHeight="1" thickBot="1" x14ac:dyDescent="0.3">
      <c r="F129" s="483"/>
      <c r="G129" s="571" t="s">
        <v>625</v>
      </c>
      <c r="H129" s="516" t="s">
        <v>519</v>
      </c>
      <c r="I129" s="639">
        <f t="shared" ref="I129:S129" si="16">I113+I120+I123</f>
        <v>67209.068599999999</v>
      </c>
      <c r="J129" s="489">
        <f t="shared" si="16"/>
        <v>126098.26731053997</v>
      </c>
      <c r="K129" s="489">
        <f t="shared" si="16"/>
        <v>410319.16471345793</v>
      </c>
      <c r="L129" s="598">
        <f t="shared" si="16"/>
        <v>836500.12663471233</v>
      </c>
      <c r="M129" s="496">
        <f t="shared" si="16"/>
        <v>837336.62676134706</v>
      </c>
      <c r="N129" s="489">
        <f t="shared" si="16"/>
        <v>843614.55084400368</v>
      </c>
      <c r="O129" s="489">
        <f t="shared" si="16"/>
        <v>849904.63092676224</v>
      </c>
      <c r="P129" s="489">
        <f t="shared" si="16"/>
        <v>856206.88591867615</v>
      </c>
      <c r="Q129" s="489">
        <f t="shared" si="16"/>
        <v>862521.33475621045</v>
      </c>
      <c r="R129" s="489">
        <f t="shared" si="16"/>
        <v>863824.85507663351</v>
      </c>
      <c r="S129" s="489">
        <f t="shared" si="16"/>
        <v>870158.72538332362</v>
      </c>
      <c r="T129" s="483"/>
      <c r="U129" s="483"/>
      <c r="V129" s="483"/>
      <c r="W129" s="483"/>
      <c r="X129" s="483"/>
      <c r="Y129" s="483"/>
      <c r="Z129" s="483"/>
      <c r="AA129" s="483"/>
      <c r="AB129" s="483"/>
      <c r="AC129" s="483"/>
      <c r="AD129" s="483"/>
      <c r="AE129" s="483"/>
      <c r="AF129" s="483"/>
      <c r="AG129" s="483"/>
      <c r="AH129" s="483"/>
      <c r="AI129" s="483"/>
      <c r="AJ129" s="483"/>
      <c r="AK129" s="483"/>
      <c r="AL129" s="483"/>
      <c r="AM129" s="483"/>
      <c r="AN129" s="483"/>
      <c r="AO129" s="483"/>
      <c r="AP129" s="483"/>
      <c r="AQ129" s="483"/>
      <c r="AR129" s="483"/>
      <c r="AS129" s="483"/>
      <c r="AT129" s="483"/>
      <c r="AU129" s="483"/>
      <c r="AV129" s="483"/>
      <c r="AW129" s="483"/>
      <c r="AX129" s="483"/>
      <c r="AY129" s="483"/>
      <c r="AZ129" s="483"/>
      <c r="BA129" s="483"/>
      <c r="BB129" s="483"/>
      <c r="BC129" s="483"/>
      <c r="BD129" s="483"/>
      <c r="BE129" s="483"/>
    </row>
    <row r="130" spans="5:57" s="482" customFormat="1" ht="15.75" hidden="1" thickBot="1" x14ac:dyDescent="0.3">
      <c r="F130" s="483"/>
      <c r="G130" s="573" t="s">
        <v>618</v>
      </c>
      <c r="H130" s="516" t="s">
        <v>519</v>
      </c>
      <c r="I130" s="640">
        <f t="shared" ref="I130:S130" si="17">I115+I124+I121</f>
        <v>722614.37140000006</v>
      </c>
      <c r="J130" s="508">
        <f>(J115+J124+J121)*0.67</f>
        <v>376082.07855643623</v>
      </c>
      <c r="K130" s="508">
        <f>(K115+K124+K121)*0.9</f>
        <v>225629.40478658586</v>
      </c>
      <c r="L130" s="603">
        <f t="shared" si="17"/>
        <v>0</v>
      </c>
      <c r="M130" s="585">
        <f t="shared" si="17"/>
        <v>0</v>
      </c>
      <c r="N130" s="508">
        <f t="shared" si="17"/>
        <v>0</v>
      </c>
      <c r="O130" s="508">
        <f t="shared" si="17"/>
        <v>0</v>
      </c>
      <c r="P130" s="508">
        <f t="shared" si="17"/>
        <v>0</v>
      </c>
      <c r="Q130" s="508">
        <f t="shared" si="17"/>
        <v>0</v>
      </c>
      <c r="R130" s="508">
        <f t="shared" si="17"/>
        <v>0</v>
      </c>
      <c r="S130" s="508">
        <f t="shared" si="17"/>
        <v>0</v>
      </c>
      <c r="T130" s="483"/>
      <c r="U130" s="483"/>
      <c r="V130" s="483"/>
      <c r="W130" s="483"/>
      <c r="X130" s="483"/>
      <c r="Y130" s="483"/>
      <c r="Z130" s="483"/>
      <c r="AA130" s="483"/>
      <c r="AB130" s="483"/>
      <c r="AC130" s="483"/>
      <c r="AD130" s="483"/>
      <c r="AE130" s="483"/>
      <c r="AF130" s="483"/>
      <c r="AG130" s="483"/>
      <c r="AH130" s="483"/>
      <c r="AI130" s="483"/>
      <c r="AJ130" s="483"/>
      <c r="AK130" s="483"/>
      <c r="AL130" s="483"/>
      <c r="AM130" s="483"/>
      <c r="AN130" s="483"/>
      <c r="AO130" s="483"/>
      <c r="AP130" s="483"/>
      <c r="AQ130" s="483"/>
      <c r="AR130" s="483"/>
      <c r="AS130" s="483"/>
      <c r="AT130" s="483"/>
      <c r="AU130" s="483"/>
      <c r="AV130" s="483"/>
      <c r="AW130" s="483"/>
      <c r="AX130" s="483"/>
      <c r="AY130" s="483"/>
      <c r="AZ130" s="483"/>
      <c r="BA130" s="483"/>
      <c r="BB130" s="483"/>
      <c r="BC130" s="483"/>
      <c r="BD130" s="483"/>
      <c r="BE130" s="483"/>
    </row>
    <row r="131" spans="5:57" s="482" customFormat="1" ht="15.75" hidden="1" thickBot="1" x14ac:dyDescent="0.3">
      <c r="E131" s="507"/>
      <c r="F131" s="483"/>
      <c r="G131" s="579" t="s">
        <v>263</v>
      </c>
      <c r="H131" s="516" t="s">
        <v>519</v>
      </c>
      <c r="I131" s="634">
        <v>2009</v>
      </c>
      <c r="J131" s="412">
        <v>2010</v>
      </c>
      <c r="K131" s="412">
        <v>2011</v>
      </c>
      <c r="L131" s="593">
        <v>2012</v>
      </c>
      <c r="M131" s="495">
        <v>2013</v>
      </c>
      <c r="N131" s="412">
        <v>2014</v>
      </c>
      <c r="O131" s="412">
        <v>2015</v>
      </c>
      <c r="P131" s="412">
        <v>2016</v>
      </c>
      <c r="Q131" s="412">
        <v>2017</v>
      </c>
      <c r="R131" s="412">
        <v>2018</v>
      </c>
      <c r="S131" s="412">
        <v>2019</v>
      </c>
      <c r="T131" s="483"/>
      <c r="U131" s="483"/>
      <c r="V131" s="483"/>
      <c r="W131" s="483"/>
      <c r="X131" s="483"/>
      <c r="Y131" s="483"/>
      <c r="Z131" s="483"/>
      <c r="AA131" s="483"/>
      <c r="AB131" s="483"/>
      <c r="AC131" s="483"/>
      <c r="AD131" s="483"/>
      <c r="AE131" s="483"/>
      <c r="AF131" s="483"/>
      <c r="AG131" s="483"/>
      <c r="AH131" s="483"/>
      <c r="AI131" s="483"/>
      <c r="AJ131" s="483"/>
      <c r="AK131" s="483"/>
      <c r="AL131" s="483"/>
      <c r="AM131" s="483"/>
      <c r="AN131" s="483"/>
      <c r="AO131" s="483"/>
      <c r="AP131" s="483"/>
      <c r="AQ131" s="483"/>
      <c r="AR131" s="483"/>
      <c r="AS131" s="483"/>
      <c r="AT131" s="483"/>
      <c r="AU131" s="483"/>
      <c r="AV131" s="483"/>
      <c r="AW131" s="483"/>
      <c r="AX131" s="483"/>
      <c r="AY131" s="483"/>
      <c r="AZ131" s="483"/>
      <c r="BA131" s="483"/>
      <c r="BB131" s="483"/>
      <c r="BC131" s="483"/>
      <c r="BD131" s="483"/>
      <c r="BE131" s="483"/>
    </row>
    <row r="132" spans="5:57" s="482" customFormat="1" hidden="1" x14ac:dyDescent="0.25">
      <c r="F132" s="483"/>
      <c r="G132" s="580"/>
      <c r="H132" s="483"/>
      <c r="I132" s="641"/>
      <c r="J132" s="484"/>
      <c r="K132" s="484"/>
      <c r="L132" s="604"/>
      <c r="M132" s="484"/>
      <c r="N132" s="484"/>
      <c r="O132" s="484"/>
      <c r="P132" s="484"/>
      <c r="Q132" s="484"/>
      <c r="R132" s="484"/>
      <c r="S132" s="484"/>
      <c r="T132" s="483"/>
      <c r="U132" s="483"/>
      <c r="V132" s="483"/>
      <c r="W132" s="483"/>
      <c r="X132" s="483"/>
      <c r="Y132" s="483"/>
      <c r="Z132" s="483"/>
      <c r="AA132" s="483"/>
      <c r="AB132" s="483"/>
      <c r="AC132" s="483"/>
      <c r="AD132" s="483"/>
      <c r="AE132" s="483"/>
      <c r="AF132" s="483"/>
      <c r="AG132" s="483"/>
      <c r="AH132" s="483"/>
      <c r="AI132" s="483"/>
      <c r="AJ132" s="483"/>
      <c r="AK132" s="483"/>
      <c r="AL132" s="483"/>
      <c r="AM132" s="483"/>
      <c r="AN132" s="483"/>
      <c r="AO132" s="483"/>
      <c r="AP132" s="483"/>
      <c r="AQ132" s="483"/>
      <c r="AR132" s="483"/>
      <c r="AS132" s="483"/>
      <c r="AT132" s="483"/>
      <c r="AU132" s="483"/>
      <c r="AV132" s="483"/>
      <c r="AW132" s="483"/>
      <c r="AX132" s="483"/>
      <c r="AY132" s="483"/>
      <c r="AZ132" s="483"/>
      <c r="BA132" s="483"/>
      <c r="BB132" s="483"/>
      <c r="BC132" s="483"/>
      <c r="BD132" s="483"/>
      <c r="BE132" s="483"/>
    </row>
    <row r="133" spans="5:57" s="482" customFormat="1" x14ac:dyDescent="0.25">
      <c r="F133" s="647"/>
      <c r="G133" s="650"/>
      <c r="H133" s="647"/>
      <c r="I133" s="648"/>
      <c r="J133" s="648"/>
      <c r="K133" s="648"/>
      <c r="L133" s="651"/>
      <c r="M133" s="586"/>
      <c r="N133" s="491"/>
      <c r="O133" s="491"/>
      <c r="P133" s="491"/>
      <c r="Q133" s="491"/>
      <c r="R133" s="491"/>
      <c r="S133" s="491"/>
      <c r="T133" s="483"/>
      <c r="U133" s="483"/>
      <c r="V133" s="483"/>
      <c r="W133" s="483"/>
      <c r="X133" s="483"/>
      <c r="Y133" s="483"/>
      <c r="Z133" s="483"/>
      <c r="AA133" s="483"/>
      <c r="AB133" s="483"/>
      <c r="AC133" s="483"/>
      <c r="AD133" s="483"/>
      <c r="AE133" s="483"/>
      <c r="AF133" s="483"/>
      <c r="AG133" s="483"/>
      <c r="AH133" s="483"/>
      <c r="AI133" s="483"/>
      <c r="AJ133" s="483"/>
      <c r="AK133" s="483"/>
      <c r="AL133" s="483"/>
      <c r="AM133" s="483"/>
      <c r="AN133" s="483"/>
      <c r="AO133" s="483"/>
      <c r="AP133" s="483"/>
      <c r="AQ133" s="483"/>
      <c r="AR133" s="483"/>
      <c r="AS133" s="483"/>
      <c r="AT133" s="483"/>
      <c r="AU133" s="483"/>
      <c r="AV133" s="483"/>
      <c r="AW133" s="483"/>
      <c r="AX133" s="483"/>
      <c r="AY133" s="483"/>
      <c r="AZ133" s="483"/>
      <c r="BA133" s="483"/>
      <c r="BB133" s="483"/>
      <c r="BC133" s="483"/>
      <c r="BD133" s="483"/>
      <c r="BE133" s="483"/>
    </row>
    <row r="134" spans="5:57" s="482" customFormat="1" x14ac:dyDescent="0.25">
      <c r="F134" s="647"/>
      <c r="G134" s="650"/>
      <c r="H134" s="647"/>
      <c r="I134" s="648"/>
      <c r="J134" s="648"/>
      <c r="K134" s="648"/>
      <c r="L134" s="648"/>
      <c r="M134" s="484"/>
      <c r="N134" s="490"/>
      <c r="O134" s="490"/>
      <c r="P134" s="490"/>
      <c r="Q134" s="490"/>
      <c r="R134" s="490"/>
      <c r="S134" s="490"/>
      <c r="T134" s="483"/>
      <c r="U134" s="483"/>
      <c r="V134" s="483"/>
      <c r="W134" s="483"/>
      <c r="X134" s="483"/>
      <c r="Y134" s="483"/>
      <c r="Z134" s="483"/>
      <c r="AA134" s="483"/>
      <c r="AB134" s="483"/>
      <c r="AC134" s="483"/>
      <c r="AD134" s="483"/>
      <c r="AE134" s="483"/>
      <c r="AF134" s="483"/>
      <c r="AG134" s="483"/>
      <c r="AH134" s="483"/>
      <c r="AI134" s="483"/>
      <c r="AJ134" s="483"/>
      <c r="AK134" s="483"/>
      <c r="AL134" s="483"/>
      <c r="AM134" s="483"/>
      <c r="AN134" s="483"/>
      <c r="AO134" s="483"/>
      <c r="AP134" s="483"/>
      <c r="AQ134" s="483"/>
      <c r="AR134" s="483"/>
      <c r="AS134" s="483"/>
      <c r="AT134" s="483"/>
      <c r="AU134" s="483"/>
      <c r="AV134" s="483"/>
      <c r="AW134" s="483"/>
      <c r="AX134" s="483"/>
      <c r="AY134" s="483"/>
      <c r="AZ134" s="483"/>
      <c r="BA134" s="483"/>
      <c r="BB134" s="483"/>
      <c r="BC134" s="483"/>
      <c r="BD134" s="483"/>
      <c r="BE134" s="483"/>
    </row>
    <row r="135" spans="5:57" s="482" customFormat="1" x14ac:dyDescent="0.25">
      <c r="F135" s="647"/>
      <c r="G135" s="650"/>
      <c r="H135" s="647"/>
      <c r="I135" s="648"/>
      <c r="J135" s="648"/>
      <c r="K135" s="648"/>
      <c r="L135" s="648"/>
      <c r="M135" s="484"/>
      <c r="N135" s="484"/>
      <c r="O135" s="484"/>
      <c r="P135" s="490"/>
      <c r="Q135" s="490"/>
      <c r="R135" s="490"/>
      <c r="S135" s="490"/>
      <c r="T135" s="483"/>
      <c r="U135" s="483"/>
      <c r="V135" s="483"/>
      <c r="W135" s="483"/>
      <c r="X135" s="483"/>
      <c r="Y135" s="483"/>
      <c r="Z135" s="483"/>
      <c r="AA135" s="483"/>
      <c r="AB135" s="483"/>
      <c r="AC135" s="483"/>
      <c r="AD135" s="483"/>
      <c r="AE135" s="483"/>
      <c r="AF135" s="483"/>
      <c r="AG135" s="483"/>
      <c r="AH135" s="483"/>
      <c r="AI135" s="483"/>
      <c r="AJ135" s="483"/>
      <c r="AK135" s="483"/>
      <c r="AL135" s="483"/>
      <c r="AM135" s="483"/>
      <c r="AN135" s="483"/>
      <c r="AO135" s="483"/>
      <c r="AP135" s="483"/>
      <c r="AQ135" s="483"/>
      <c r="AR135" s="483"/>
      <c r="AS135" s="483"/>
      <c r="AT135" s="483"/>
      <c r="AU135" s="483"/>
      <c r="AV135" s="483"/>
      <c r="AW135" s="483"/>
      <c r="AX135" s="483"/>
      <c r="AY135" s="483"/>
      <c r="AZ135" s="483"/>
      <c r="BA135" s="483"/>
      <c r="BB135" s="483"/>
      <c r="BC135" s="483"/>
      <c r="BD135" s="483"/>
      <c r="BE135" s="483"/>
    </row>
    <row r="136" spans="5:57" s="482" customFormat="1" x14ac:dyDescent="0.25">
      <c r="F136" s="647"/>
      <c r="G136" s="650"/>
      <c r="H136" s="647"/>
      <c r="I136" s="647"/>
      <c r="J136" s="647"/>
      <c r="K136" s="647"/>
      <c r="L136" s="647"/>
      <c r="M136" s="483"/>
      <c r="N136" s="483"/>
      <c r="O136" s="483"/>
      <c r="P136" s="483"/>
      <c r="Q136" s="483"/>
      <c r="R136" s="483"/>
      <c r="S136" s="483"/>
      <c r="T136" s="483"/>
      <c r="U136" s="483"/>
      <c r="V136" s="483"/>
      <c r="W136" s="483"/>
      <c r="X136" s="483"/>
      <c r="Y136" s="483"/>
      <c r="Z136" s="483"/>
      <c r="AA136" s="483"/>
      <c r="AB136" s="483"/>
      <c r="AC136" s="483"/>
      <c r="AD136" s="483"/>
      <c r="AE136" s="483"/>
      <c r="AF136" s="483"/>
      <c r="AG136" s="483"/>
      <c r="AH136" s="483"/>
      <c r="AI136" s="483"/>
      <c r="AJ136" s="483"/>
      <c r="AK136" s="483"/>
      <c r="AL136" s="483"/>
      <c r="AM136" s="483"/>
      <c r="AN136" s="483"/>
      <c r="AO136" s="483"/>
      <c r="AP136" s="483"/>
      <c r="AQ136" s="483"/>
      <c r="AR136" s="483"/>
      <c r="AS136" s="483"/>
      <c r="AT136" s="483"/>
      <c r="AU136" s="483"/>
      <c r="AV136" s="483"/>
      <c r="AW136" s="483"/>
      <c r="AX136" s="483"/>
      <c r="AY136" s="483"/>
      <c r="AZ136" s="483"/>
      <c r="BA136" s="483"/>
      <c r="BB136" s="483"/>
      <c r="BC136" s="483"/>
      <c r="BD136" s="483"/>
      <c r="BE136" s="483"/>
    </row>
    <row r="137" spans="5:57" s="482" customFormat="1" x14ac:dyDescent="0.25">
      <c r="F137" s="647"/>
      <c r="G137" s="650"/>
      <c r="H137" s="647"/>
      <c r="I137" s="647"/>
      <c r="J137" s="647"/>
      <c r="K137" s="647"/>
      <c r="L137" s="647"/>
      <c r="M137" s="483"/>
      <c r="N137" s="483"/>
      <c r="O137" s="483"/>
      <c r="P137" s="483"/>
      <c r="Q137" s="483"/>
      <c r="R137" s="483"/>
      <c r="S137" s="483"/>
      <c r="T137" s="483"/>
      <c r="U137" s="483"/>
      <c r="V137" s="483"/>
      <c r="W137" s="483"/>
      <c r="X137" s="483"/>
      <c r="Y137" s="483"/>
      <c r="Z137" s="483"/>
      <c r="AA137" s="483"/>
      <c r="AB137" s="483"/>
      <c r="AC137" s="483"/>
      <c r="AD137" s="483"/>
      <c r="AE137" s="483"/>
      <c r="AF137" s="483"/>
      <c r="AG137" s="483"/>
      <c r="AH137" s="483"/>
      <c r="AI137" s="483"/>
      <c r="AJ137" s="483"/>
      <c r="AK137" s="483"/>
      <c r="AL137" s="483"/>
      <c r="AM137" s="483"/>
      <c r="AN137" s="483"/>
      <c r="AO137" s="483"/>
      <c r="AP137" s="483"/>
      <c r="AQ137" s="483"/>
      <c r="AR137" s="483"/>
      <c r="AS137" s="483"/>
      <c r="AT137" s="483"/>
      <c r="AU137" s="483"/>
      <c r="AV137" s="483"/>
      <c r="AW137" s="483"/>
      <c r="AX137" s="483"/>
      <c r="AY137" s="483"/>
      <c r="AZ137" s="483"/>
      <c r="BA137" s="483"/>
      <c r="BB137" s="483"/>
      <c r="BC137" s="483"/>
      <c r="BD137" s="483"/>
      <c r="BE137" s="483"/>
    </row>
    <row r="138" spans="5:57" s="482" customFormat="1" x14ac:dyDescent="0.25">
      <c r="F138" s="647"/>
      <c r="G138" s="650"/>
      <c r="H138" s="647"/>
      <c r="I138" s="647"/>
      <c r="J138" s="647"/>
      <c r="K138" s="647"/>
      <c r="L138" s="647"/>
      <c r="M138" s="483"/>
      <c r="N138" s="483"/>
      <c r="O138" s="483"/>
      <c r="P138" s="483"/>
      <c r="Q138" s="483"/>
      <c r="R138" s="483"/>
      <c r="S138" s="483"/>
      <c r="T138" s="483"/>
      <c r="U138" s="483"/>
      <c r="V138" s="483"/>
      <c r="W138" s="483"/>
      <c r="X138" s="483"/>
      <c r="Y138" s="483"/>
      <c r="Z138" s="483"/>
      <c r="AA138" s="483"/>
      <c r="AB138" s="483"/>
      <c r="AC138" s="483"/>
      <c r="AD138" s="483"/>
      <c r="AE138" s="483"/>
      <c r="AF138" s="483"/>
      <c r="AG138" s="483"/>
      <c r="AH138" s="483"/>
      <c r="AI138" s="483"/>
      <c r="AJ138" s="483"/>
      <c r="AK138" s="483"/>
      <c r="AL138" s="483"/>
      <c r="AM138" s="483"/>
      <c r="AN138" s="483"/>
      <c r="AO138" s="483"/>
      <c r="AP138" s="483"/>
      <c r="AQ138" s="483"/>
      <c r="AR138" s="483"/>
      <c r="AS138" s="483"/>
      <c r="AT138" s="483"/>
      <c r="AU138" s="483"/>
      <c r="AV138" s="483"/>
      <c r="AW138" s="483"/>
      <c r="AX138" s="483"/>
      <c r="AY138" s="483"/>
      <c r="AZ138" s="483"/>
      <c r="BA138" s="483"/>
      <c r="BB138" s="483"/>
      <c r="BC138" s="483"/>
      <c r="BD138" s="483"/>
      <c r="BE138" s="483"/>
    </row>
    <row r="139" spans="5:57" s="482" customFormat="1" x14ac:dyDescent="0.25">
      <c r="F139" s="647"/>
      <c r="G139" s="650"/>
      <c r="H139" s="647"/>
      <c r="I139" s="647"/>
      <c r="J139" s="647"/>
      <c r="K139" s="647"/>
      <c r="L139" s="647"/>
      <c r="M139" s="483"/>
      <c r="N139" s="483"/>
      <c r="O139" s="483"/>
      <c r="P139" s="483"/>
      <c r="Q139" s="483"/>
      <c r="R139" s="483"/>
      <c r="S139" s="483"/>
      <c r="T139" s="483"/>
      <c r="U139" s="483"/>
      <c r="V139" s="483"/>
      <c r="W139" s="483"/>
      <c r="X139" s="483"/>
      <c r="Y139" s="483"/>
      <c r="Z139" s="483"/>
      <c r="AA139" s="483"/>
      <c r="AB139" s="483"/>
      <c r="AC139" s="483"/>
      <c r="AD139" s="483"/>
      <c r="AE139" s="483"/>
      <c r="AF139" s="483"/>
      <c r="AG139" s="483"/>
      <c r="AH139" s="483"/>
      <c r="AI139" s="483"/>
      <c r="AJ139" s="483"/>
      <c r="AK139" s="483"/>
      <c r="AL139" s="483"/>
      <c r="AM139" s="483"/>
      <c r="AN139" s="483"/>
      <c r="AO139" s="483"/>
      <c r="AP139" s="483"/>
      <c r="AQ139" s="483"/>
      <c r="AR139" s="483"/>
      <c r="AS139" s="483"/>
      <c r="AT139" s="483"/>
      <c r="AU139" s="483"/>
      <c r="AV139" s="483"/>
      <c r="AW139" s="483"/>
      <c r="AX139" s="483"/>
      <c r="AY139" s="483"/>
      <c r="AZ139" s="483"/>
      <c r="BA139" s="483"/>
      <c r="BB139" s="483"/>
      <c r="BC139" s="483"/>
      <c r="BD139" s="483"/>
      <c r="BE139" s="483"/>
    </row>
    <row r="140" spans="5:57" s="482" customFormat="1" x14ac:dyDescent="0.25">
      <c r="F140" s="647"/>
      <c r="G140" s="650"/>
      <c r="H140" s="647"/>
      <c r="I140" s="647"/>
      <c r="J140" s="647"/>
      <c r="K140" s="647"/>
      <c r="L140" s="647"/>
      <c r="M140" s="483"/>
      <c r="N140" s="483"/>
      <c r="O140" s="483"/>
      <c r="P140" s="483"/>
      <c r="Q140" s="483"/>
      <c r="R140" s="483"/>
      <c r="S140" s="483"/>
      <c r="T140" s="483"/>
      <c r="U140" s="483"/>
      <c r="V140" s="483"/>
      <c r="W140" s="483"/>
      <c r="X140" s="483"/>
      <c r="Y140" s="483"/>
      <c r="Z140" s="483"/>
      <c r="AA140" s="483"/>
      <c r="AB140" s="483"/>
      <c r="AC140" s="483"/>
      <c r="AD140" s="483"/>
      <c r="AE140" s="483"/>
      <c r="AF140" s="483"/>
      <c r="AG140" s="483"/>
      <c r="AH140" s="483"/>
      <c r="AI140" s="483"/>
      <c r="AJ140" s="483"/>
      <c r="AK140" s="483"/>
      <c r="AL140" s="483"/>
      <c r="AM140" s="483"/>
      <c r="AN140" s="483"/>
      <c r="AO140" s="483"/>
      <c r="AP140" s="483"/>
      <c r="AQ140" s="483"/>
      <c r="AR140" s="483"/>
      <c r="AS140" s="483"/>
      <c r="AT140" s="483"/>
      <c r="AU140" s="483"/>
      <c r="AV140" s="483"/>
      <c r="AW140" s="483"/>
      <c r="AX140" s="483"/>
      <c r="AY140" s="483"/>
      <c r="AZ140" s="483"/>
      <c r="BA140" s="483"/>
      <c r="BB140" s="483"/>
      <c r="BC140" s="483"/>
      <c r="BD140" s="483"/>
      <c r="BE140" s="483"/>
    </row>
    <row r="141" spans="5:57" s="482" customFormat="1" x14ac:dyDescent="0.25">
      <c r="F141" s="647"/>
      <c r="G141" s="650"/>
      <c r="H141" s="647"/>
      <c r="I141" s="647"/>
      <c r="J141" s="647"/>
      <c r="K141" s="647"/>
      <c r="L141" s="647"/>
      <c r="M141" s="483"/>
      <c r="N141" s="483"/>
      <c r="O141" s="483"/>
      <c r="P141" s="483"/>
      <c r="Q141" s="483"/>
      <c r="R141" s="483"/>
      <c r="S141" s="483"/>
      <c r="T141" s="483"/>
      <c r="U141" s="483"/>
      <c r="V141" s="483"/>
      <c r="W141" s="483"/>
      <c r="X141" s="483"/>
      <c r="Y141" s="483"/>
      <c r="Z141" s="483"/>
      <c r="AA141" s="483"/>
      <c r="AB141" s="483"/>
      <c r="AC141" s="483"/>
      <c r="AD141" s="483"/>
      <c r="AE141" s="483"/>
      <c r="AF141" s="483"/>
      <c r="AG141" s="483"/>
      <c r="AH141" s="483"/>
      <c r="AI141" s="483"/>
      <c r="AJ141" s="483"/>
      <c r="AK141" s="483"/>
      <c r="AL141" s="483"/>
      <c r="AM141" s="483"/>
      <c r="AN141" s="483"/>
      <c r="AO141" s="483"/>
      <c r="AP141" s="483"/>
      <c r="AQ141" s="483"/>
      <c r="AR141" s="483"/>
      <c r="AS141" s="483"/>
      <c r="AT141" s="483"/>
      <c r="AU141" s="483"/>
      <c r="AV141" s="483"/>
      <c r="AW141" s="483"/>
      <c r="AX141" s="483"/>
      <c r="AY141" s="483"/>
      <c r="AZ141" s="483"/>
      <c r="BA141" s="483"/>
      <c r="BB141" s="483"/>
      <c r="BC141" s="483"/>
      <c r="BD141" s="483"/>
      <c r="BE141" s="483"/>
    </row>
    <row r="142" spans="5:57" s="482" customFormat="1" x14ac:dyDescent="0.25">
      <c r="F142" s="647"/>
      <c r="G142" s="650"/>
      <c r="H142" s="647"/>
      <c r="I142" s="647"/>
      <c r="J142" s="647"/>
      <c r="K142" s="647"/>
      <c r="L142" s="647"/>
      <c r="M142" s="483"/>
      <c r="N142" s="483"/>
      <c r="O142" s="483"/>
      <c r="P142" s="483"/>
      <c r="Q142" s="483"/>
      <c r="R142" s="483"/>
      <c r="S142" s="483"/>
      <c r="T142" s="483"/>
      <c r="U142" s="483"/>
      <c r="V142" s="483"/>
      <c r="W142" s="483"/>
      <c r="X142" s="483"/>
      <c r="Y142" s="483"/>
      <c r="Z142" s="483"/>
      <c r="AA142" s="483"/>
      <c r="AB142" s="483"/>
      <c r="AC142" s="483"/>
      <c r="AD142" s="483"/>
      <c r="AE142" s="483"/>
      <c r="AF142" s="483"/>
      <c r="AG142" s="483"/>
      <c r="AH142" s="483"/>
      <c r="AI142" s="483"/>
      <c r="AJ142" s="483"/>
      <c r="AK142" s="483"/>
      <c r="AL142" s="483"/>
      <c r="AM142" s="483"/>
      <c r="AN142" s="483"/>
      <c r="AO142" s="483"/>
      <c r="AP142" s="483"/>
      <c r="AQ142" s="483"/>
      <c r="AR142" s="483"/>
      <c r="AS142" s="483"/>
      <c r="AT142" s="483"/>
      <c r="AU142" s="483"/>
      <c r="AV142" s="483"/>
      <c r="AW142" s="483"/>
      <c r="AX142" s="483"/>
      <c r="AY142" s="483"/>
      <c r="AZ142" s="483"/>
      <c r="BA142" s="483"/>
      <c r="BB142" s="483"/>
      <c r="BC142" s="483"/>
      <c r="BD142" s="483"/>
      <c r="BE142" s="483"/>
    </row>
    <row r="143" spans="5:57" s="482" customFormat="1" x14ac:dyDescent="0.25">
      <c r="F143" s="647"/>
      <c r="G143" s="650"/>
      <c r="H143" s="647"/>
      <c r="I143" s="647"/>
      <c r="J143" s="647"/>
      <c r="K143" s="647"/>
      <c r="L143" s="647"/>
      <c r="M143" s="483"/>
      <c r="N143" s="483"/>
      <c r="O143" s="483"/>
      <c r="P143" s="483"/>
      <c r="Q143" s="483"/>
      <c r="R143" s="483"/>
      <c r="S143" s="483"/>
      <c r="T143" s="483"/>
      <c r="U143" s="483"/>
      <c r="V143" s="483"/>
      <c r="W143" s="483"/>
      <c r="X143" s="483"/>
      <c r="Y143" s="483"/>
      <c r="Z143" s="483"/>
      <c r="AA143" s="483"/>
      <c r="AB143" s="483"/>
      <c r="AC143" s="483"/>
      <c r="AD143" s="483"/>
      <c r="AE143" s="483"/>
      <c r="AF143" s="483"/>
      <c r="AG143" s="483"/>
      <c r="AH143" s="483"/>
      <c r="AI143" s="483"/>
      <c r="AJ143" s="483"/>
      <c r="AK143" s="483"/>
      <c r="AL143" s="483"/>
      <c r="AM143" s="483"/>
      <c r="AN143" s="483"/>
      <c r="AO143" s="483"/>
      <c r="AP143" s="483"/>
      <c r="AQ143" s="483"/>
      <c r="AR143" s="483"/>
      <c r="AS143" s="483"/>
      <c r="AT143" s="483"/>
      <c r="AU143" s="483"/>
      <c r="AV143" s="483"/>
      <c r="AW143" s="483"/>
      <c r="AX143" s="483"/>
      <c r="AY143" s="483"/>
      <c r="AZ143" s="483"/>
      <c r="BA143" s="483"/>
      <c r="BB143" s="483"/>
      <c r="BC143" s="483"/>
      <c r="BD143" s="483"/>
      <c r="BE143" s="483"/>
    </row>
    <row r="144" spans="5:57" s="482" customFormat="1" x14ac:dyDescent="0.25">
      <c r="F144" s="647"/>
      <c r="G144" s="650"/>
      <c r="H144" s="647"/>
      <c r="I144" s="647"/>
      <c r="J144" s="647"/>
      <c r="K144" s="647"/>
      <c r="L144" s="647"/>
      <c r="M144" s="483"/>
      <c r="N144" s="483"/>
      <c r="O144" s="483"/>
      <c r="P144" s="483"/>
      <c r="Q144" s="483"/>
      <c r="R144" s="483"/>
      <c r="S144" s="483"/>
      <c r="T144" s="483"/>
      <c r="U144" s="483"/>
      <c r="V144" s="483"/>
      <c r="W144" s="483"/>
      <c r="X144" s="483"/>
      <c r="Y144" s="483"/>
      <c r="Z144" s="483"/>
      <c r="AA144" s="483"/>
      <c r="AB144" s="483"/>
      <c r="AC144" s="483"/>
      <c r="AD144" s="483"/>
      <c r="AE144" s="483"/>
      <c r="AF144" s="483"/>
      <c r="AG144" s="483"/>
      <c r="AH144" s="483"/>
      <c r="AI144" s="483"/>
      <c r="AJ144" s="483"/>
      <c r="AK144" s="483"/>
      <c r="AL144" s="483"/>
      <c r="AM144" s="483"/>
      <c r="AN144" s="483"/>
      <c r="AO144" s="483"/>
      <c r="AP144" s="483"/>
      <c r="AQ144" s="483"/>
      <c r="AR144" s="483"/>
      <c r="AS144" s="483"/>
      <c r="AT144" s="483"/>
      <c r="AU144" s="483"/>
      <c r="AV144" s="483"/>
      <c r="AW144" s="483"/>
      <c r="AX144" s="483"/>
      <c r="AY144" s="483"/>
      <c r="AZ144" s="483"/>
      <c r="BA144" s="483"/>
      <c r="BB144" s="483"/>
      <c r="BC144" s="483"/>
      <c r="BD144" s="483"/>
      <c r="BE144" s="483"/>
    </row>
    <row r="145" spans="6:57" s="482" customFormat="1" x14ac:dyDescent="0.25">
      <c r="F145" s="647"/>
      <c r="G145" s="650"/>
      <c r="H145" s="647"/>
      <c r="I145" s="647"/>
      <c r="J145" s="647"/>
      <c r="K145" s="647"/>
      <c r="L145" s="647"/>
      <c r="M145" s="483"/>
      <c r="N145" s="483"/>
      <c r="O145" s="483"/>
      <c r="P145" s="483"/>
      <c r="Q145" s="483"/>
      <c r="R145" s="483"/>
      <c r="S145" s="483"/>
      <c r="T145" s="483"/>
      <c r="U145" s="483"/>
      <c r="V145" s="483"/>
      <c r="W145" s="483"/>
      <c r="X145" s="483"/>
      <c r="Y145" s="483"/>
      <c r="Z145" s="483"/>
      <c r="AA145" s="483"/>
      <c r="AB145" s="483"/>
      <c r="AC145" s="483"/>
      <c r="AD145" s="483"/>
      <c r="AE145" s="483"/>
      <c r="AF145" s="483"/>
      <c r="AG145" s="483"/>
      <c r="AH145" s="483"/>
      <c r="AI145" s="483"/>
      <c r="AJ145" s="483"/>
      <c r="AK145" s="483"/>
      <c r="AL145" s="483"/>
      <c r="AM145" s="483"/>
      <c r="AN145" s="483"/>
      <c r="AO145" s="483"/>
      <c r="AP145" s="483"/>
      <c r="AQ145" s="483"/>
      <c r="AR145" s="483"/>
      <c r="AS145" s="483"/>
      <c r="AT145" s="483"/>
      <c r="AU145" s="483"/>
      <c r="AV145" s="483"/>
      <c r="AW145" s="483"/>
      <c r="AX145" s="483"/>
      <c r="AY145" s="483"/>
      <c r="AZ145" s="483"/>
      <c r="BA145" s="483"/>
      <c r="BB145" s="483"/>
      <c r="BC145" s="483"/>
      <c r="BD145" s="483"/>
      <c r="BE145" s="483"/>
    </row>
    <row r="146" spans="6:57" s="482" customFormat="1" x14ac:dyDescent="0.25">
      <c r="F146" s="647"/>
      <c r="G146" s="650"/>
      <c r="H146" s="647"/>
      <c r="I146" s="647"/>
      <c r="J146" s="647"/>
      <c r="K146" s="647"/>
      <c r="L146" s="647"/>
      <c r="M146" s="483"/>
      <c r="N146" s="483"/>
      <c r="O146" s="483"/>
      <c r="P146" s="483"/>
      <c r="Q146" s="483"/>
      <c r="R146" s="483"/>
      <c r="S146" s="483"/>
      <c r="T146" s="483"/>
      <c r="U146" s="483"/>
      <c r="V146" s="483"/>
      <c r="W146" s="483"/>
      <c r="X146" s="483"/>
      <c r="Y146" s="483"/>
      <c r="Z146" s="483"/>
      <c r="AA146" s="483"/>
      <c r="AB146" s="483"/>
      <c r="AC146" s="483"/>
      <c r="AD146" s="483"/>
      <c r="AE146" s="483"/>
      <c r="AF146" s="483"/>
      <c r="AG146" s="483"/>
      <c r="AH146" s="483"/>
      <c r="AI146" s="483"/>
      <c r="AJ146" s="483"/>
      <c r="AK146" s="483"/>
      <c r="AL146" s="483"/>
      <c r="AM146" s="483"/>
      <c r="AN146" s="483"/>
      <c r="AO146" s="483"/>
      <c r="AP146" s="483"/>
      <c r="AQ146" s="483"/>
      <c r="AR146" s="483"/>
      <c r="AS146" s="483"/>
      <c r="AT146" s="483"/>
      <c r="AU146" s="483"/>
      <c r="AV146" s="483"/>
      <c r="AW146" s="483"/>
      <c r="AX146" s="483"/>
      <c r="AY146" s="483"/>
      <c r="AZ146" s="483"/>
      <c r="BA146" s="483"/>
      <c r="BB146" s="483"/>
      <c r="BC146" s="483"/>
      <c r="BD146" s="483"/>
      <c r="BE146" s="483"/>
    </row>
    <row r="147" spans="6:57" s="482" customFormat="1" x14ac:dyDescent="0.25">
      <c r="F147" s="647"/>
      <c r="G147" s="650"/>
      <c r="H147" s="647"/>
      <c r="I147" s="647"/>
      <c r="J147" s="647"/>
      <c r="K147" s="647"/>
      <c r="L147" s="647"/>
      <c r="M147" s="483"/>
      <c r="N147" s="483"/>
      <c r="O147" s="483"/>
      <c r="P147" s="483"/>
      <c r="Q147" s="483"/>
      <c r="R147" s="483"/>
      <c r="S147" s="483"/>
      <c r="T147" s="483"/>
      <c r="U147" s="483"/>
      <c r="V147" s="483"/>
      <c r="W147" s="483"/>
      <c r="X147" s="483"/>
      <c r="Y147" s="483"/>
      <c r="Z147" s="483"/>
      <c r="AA147" s="483"/>
      <c r="AB147" s="483"/>
      <c r="AC147" s="483"/>
      <c r="AD147" s="483"/>
      <c r="AE147" s="483"/>
      <c r="AF147" s="483"/>
      <c r="AG147" s="483"/>
      <c r="AH147" s="483"/>
      <c r="AI147" s="483"/>
      <c r="AJ147" s="483"/>
      <c r="AK147" s="483"/>
      <c r="AL147" s="483"/>
      <c r="AM147" s="483"/>
      <c r="AN147" s="483"/>
      <c r="AO147" s="483"/>
      <c r="AP147" s="483"/>
      <c r="AQ147" s="483"/>
      <c r="AR147" s="483"/>
      <c r="AS147" s="483"/>
      <c r="AT147" s="483"/>
      <c r="AU147" s="483"/>
      <c r="AV147" s="483"/>
      <c r="AW147" s="483"/>
      <c r="AX147" s="483"/>
      <c r="AY147" s="483"/>
      <c r="AZ147" s="483"/>
      <c r="BA147" s="483"/>
      <c r="BB147" s="483"/>
      <c r="BC147" s="483"/>
      <c r="BD147" s="483"/>
      <c r="BE147" s="483"/>
    </row>
    <row r="148" spans="6:57" s="482" customFormat="1" x14ac:dyDescent="0.25">
      <c r="F148" s="647"/>
      <c r="G148" s="650"/>
      <c r="H148" s="647"/>
      <c r="I148" s="647"/>
      <c r="J148" s="647"/>
      <c r="K148" s="647"/>
      <c r="L148" s="647"/>
      <c r="M148" s="483"/>
      <c r="N148" s="483"/>
      <c r="O148" s="483"/>
      <c r="P148" s="483"/>
      <c r="Q148" s="483"/>
      <c r="R148" s="483"/>
      <c r="S148" s="483"/>
      <c r="T148" s="483"/>
      <c r="U148" s="483"/>
      <c r="V148" s="483"/>
      <c r="W148" s="483"/>
      <c r="X148" s="483"/>
      <c r="Y148" s="483"/>
      <c r="Z148" s="483"/>
      <c r="AA148" s="483"/>
      <c r="AB148" s="483"/>
      <c r="AC148" s="483"/>
      <c r="AD148" s="483"/>
      <c r="AE148" s="483"/>
      <c r="AF148" s="483"/>
      <c r="AG148" s="483"/>
      <c r="AH148" s="483"/>
      <c r="AI148" s="483"/>
      <c r="AJ148" s="483"/>
      <c r="AK148" s="483"/>
      <c r="AL148" s="483"/>
      <c r="AM148" s="483"/>
      <c r="AN148" s="483"/>
      <c r="AO148" s="483"/>
      <c r="AP148" s="483"/>
      <c r="AQ148" s="483"/>
      <c r="AR148" s="483"/>
      <c r="AS148" s="483"/>
      <c r="AT148" s="483"/>
      <c r="AU148" s="483"/>
      <c r="AV148" s="483"/>
      <c r="AW148" s="483"/>
      <c r="AX148" s="483"/>
      <c r="AY148" s="483"/>
      <c r="AZ148" s="483"/>
      <c r="BA148" s="483"/>
      <c r="BB148" s="483"/>
      <c r="BC148" s="483"/>
      <c r="BD148" s="483"/>
      <c r="BE148" s="483"/>
    </row>
    <row r="149" spans="6:57" s="482" customFormat="1" x14ac:dyDescent="0.25">
      <c r="F149" s="647"/>
      <c r="G149" s="650"/>
      <c r="H149" s="647"/>
      <c r="I149" s="647"/>
      <c r="J149" s="647"/>
      <c r="K149" s="647"/>
      <c r="L149" s="647"/>
      <c r="M149" s="483"/>
      <c r="N149" s="483"/>
      <c r="O149" s="483"/>
      <c r="P149" s="483"/>
      <c r="Q149" s="483"/>
      <c r="R149" s="483"/>
      <c r="S149" s="483"/>
      <c r="T149" s="483"/>
      <c r="U149" s="483"/>
      <c r="V149" s="483"/>
      <c r="W149" s="483"/>
      <c r="X149" s="483"/>
      <c r="Y149" s="483"/>
      <c r="Z149" s="483"/>
      <c r="AA149" s="483"/>
      <c r="AB149" s="483"/>
      <c r="AC149" s="483"/>
      <c r="AD149" s="483"/>
      <c r="AE149" s="483"/>
      <c r="AF149" s="483"/>
      <c r="AG149" s="483"/>
      <c r="AH149" s="483"/>
      <c r="AI149" s="483"/>
      <c r="AJ149" s="483"/>
      <c r="AK149" s="483"/>
      <c r="AL149" s="483"/>
      <c r="AM149" s="483"/>
      <c r="AN149" s="483"/>
      <c r="AO149" s="483"/>
      <c r="AP149" s="483"/>
      <c r="AQ149" s="483"/>
      <c r="AR149" s="483"/>
      <c r="AS149" s="483"/>
      <c r="AT149" s="483"/>
      <c r="AU149" s="483"/>
      <c r="AV149" s="483"/>
      <c r="AW149" s="483"/>
      <c r="AX149" s="483"/>
      <c r="AY149" s="483"/>
      <c r="AZ149" s="483"/>
      <c r="BA149" s="483"/>
      <c r="BB149" s="483"/>
      <c r="BC149" s="483"/>
      <c r="BD149" s="483"/>
      <c r="BE149" s="483"/>
    </row>
    <row r="150" spans="6:57" s="482" customFormat="1" x14ac:dyDescent="0.25">
      <c r="F150" s="647"/>
      <c r="G150" s="650"/>
      <c r="H150" s="647"/>
      <c r="I150" s="648"/>
      <c r="J150" s="648"/>
      <c r="K150" s="648"/>
      <c r="L150" s="648"/>
      <c r="M150" s="484"/>
      <c r="N150" s="484"/>
      <c r="O150" s="484"/>
      <c r="P150" s="484"/>
      <c r="Q150" s="484"/>
      <c r="R150" s="484"/>
      <c r="S150" s="484"/>
      <c r="T150" s="483"/>
      <c r="U150" s="483"/>
      <c r="V150" s="483"/>
      <c r="W150" s="483"/>
      <c r="X150" s="483"/>
      <c r="Y150" s="483"/>
      <c r="Z150" s="483"/>
      <c r="AA150" s="483"/>
      <c r="AB150" s="483"/>
      <c r="AC150" s="483"/>
      <c r="AD150" s="483"/>
      <c r="AE150" s="483"/>
      <c r="AF150" s="483"/>
      <c r="AG150" s="483"/>
      <c r="AH150" s="483"/>
      <c r="AI150" s="483"/>
      <c r="AJ150" s="483"/>
      <c r="AK150" s="483"/>
      <c r="AL150" s="483"/>
      <c r="AM150" s="483"/>
      <c r="AN150" s="483"/>
      <c r="AO150" s="483"/>
      <c r="AP150" s="483"/>
      <c r="AQ150" s="483"/>
      <c r="AR150" s="483"/>
      <c r="AS150" s="483"/>
      <c r="AT150" s="483"/>
      <c r="AU150" s="483"/>
      <c r="AV150" s="483"/>
      <c r="AW150" s="483"/>
      <c r="AX150" s="483"/>
      <c r="AY150" s="483"/>
      <c r="AZ150" s="483"/>
      <c r="BA150" s="483"/>
      <c r="BB150" s="483"/>
      <c r="BC150" s="483"/>
      <c r="BD150" s="483"/>
      <c r="BE150" s="483"/>
    </row>
    <row r="151" spans="6:57" s="482" customFormat="1" x14ac:dyDescent="0.25">
      <c r="F151" s="647"/>
      <c r="G151" s="650"/>
      <c r="H151" s="647"/>
      <c r="I151" s="647"/>
      <c r="J151" s="647"/>
      <c r="K151" s="647"/>
      <c r="L151" s="647"/>
      <c r="M151" s="483"/>
      <c r="N151" s="483"/>
      <c r="O151" s="483"/>
      <c r="P151" s="483"/>
      <c r="Q151" s="483"/>
      <c r="R151" s="483"/>
      <c r="S151" s="483"/>
      <c r="T151" s="483"/>
      <c r="U151" s="483"/>
      <c r="V151" s="483"/>
      <c r="W151" s="483"/>
      <c r="X151" s="483"/>
      <c r="Y151" s="483"/>
      <c r="Z151" s="483"/>
      <c r="AA151" s="483"/>
      <c r="AB151" s="483"/>
      <c r="AC151" s="483"/>
      <c r="AD151" s="483"/>
      <c r="AE151" s="483"/>
      <c r="AF151" s="483"/>
      <c r="AG151" s="483"/>
      <c r="AH151" s="483"/>
      <c r="AI151" s="483"/>
      <c r="AJ151" s="483"/>
      <c r="AK151" s="483"/>
      <c r="AL151" s="483"/>
      <c r="AM151" s="483"/>
      <c r="AN151" s="483"/>
      <c r="AO151" s="483"/>
      <c r="AP151" s="483"/>
      <c r="AQ151" s="483"/>
      <c r="AR151" s="483"/>
      <c r="AS151" s="483"/>
      <c r="AT151" s="483"/>
      <c r="AU151" s="483"/>
      <c r="AV151" s="483"/>
      <c r="AW151" s="483"/>
      <c r="AX151" s="483"/>
      <c r="AY151" s="483"/>
      <c r="AZ151" s="483"/>
      <c r="BA151" s="483"/>
      <c r="BB151" s="483"/>
      <c r="BC151" s="483"/>
      <c r="BD151" s="483"/>
      <c r="BE151" s="483"/>
    </row>
    <row r="152" spans="6:57" s="482" customFormat="1" x14ac:dyDescent="0.25">
      <c r="F152" s="647"/>
      <c r="G152" s="650"/>
      <c r="H152" s="647"/>
      <c r="I152" s="648"/>
      <c r="J152" s="648"/>
      <c r="K152" s="648"/>
      <c r="L152" s="648"/>
      <c r="M152" s="484"/>
      <c r="N152" s="484"/>
      <c r="O152" s="484"/>
      <c r="P152" s="484"/>
      <c r="Q152" s="484"/>
      <c r="R152" s="484"/>
      <c r="S152" s="484"/>
      <c r="T152" s="483"/>
      <c r="U152" s="483"/>
      <c r="V152" s="483"/>
      <c r="W152" s="483"/>
      <c r="X152" s="483"/>
      <c r="Y152" s="483"/>
      <c r="Z152" s="483"/>
      <c r="AA152" s="483"/>
      <c r="AB152" s="483"/>
      <c r="AC152" s="483"/>
      <c r="AD152" s="483"/>
      <c r="AE152" s="483"/>
      <c r="AF152" s="483"/>
      <c r="AG152" s="483"/>
      <c r="AH152" s="483"/>
      <c r="AI152" s="483"/>
      <c r="AJ152" s="483"/>
      <c r="AK152" s="483"/>
      <c r="AL152" s="483"/>
      <c r="AM152" s="483"/>
      <c r="AN152" s="483"/>
      <c r="AO152" s="483"/>
      <c r="AP152" s="483"/>
      <c r="AQ152" s="483"/>
      <c r="AR152" s="483"/>
      <c r="AS152" s="483"/>
      <c r="AT152" s="483"/>
      <c r="AU152" s="483"/>
      <c r="AV152" s="483"/>
      <c r="AW152" s="483"/>
      <c r="AX152" s="483"/>
      <c r="AY152" s="483"/>
      <c r="AZ152" s="483"/>
      <c r="BA152" s="483"/>
      <c r="BB152" s="483"/>
      <c r="BC152" s="483"/>
      <c r="BD152" s="483"/>
      <c r="BE152" s="483"/>
    </row>
    <row r="153" spans="6:57" s="482" customFormat="1" x14ac:dyDescent="0.25">
      <c r="F153" s="647"/>
      <c r="G153" s="650"/>
      <c r="H153" s="647"/>
      <c r="I153" s="647"/>
      <c r="J153" s="647"/>
      <c r="K153" s="647"/>
      <c r="L153" s="647"/>
      <c r="M153" s="483"/>
      <c r="N153" s="483"/>
      <c r="O153" s="483"/>
      <c r="P153" s="483"/>
      <c r="Q153" s="483"/>
      <c r="R153" s="483"/>
      <c r="S153" s="483"/>
      <c r="T153" s="483"/>
      <c r="U153" s="483"/>
      <c r="V153" s="483"/>
      <c r="W153" s="483"/>
      <c r="X153" s="483"/>
      <c r="Y153" s="483"/>
      <c r="Z153" s="483"/>
      <c r="AA153" s="483"/>
      <c r="AB153" s="483"/>
      <c r="AC153" s="483"/>
      <c r="AD153" s="483"/>
      <c r="AE153" s="483"/>
      <c r="AF153" s="483"/>
      <c r="AG153" s="483"/>
      <c r="AH153" s="483"/>
      <c r="AI153" s="483"/>
      <c r="AJ153" s="483"/>
      <c r="AK153" s="483"/>
      <c r="AL153" s="483"/>
      <c r="AM153" s="483"/>
      <c r="AN153" s="483"/>
      <c r="AO153" s="483"/>
      <c r="AP153" s="483"/>
      <c r="AQ153" s="483"/>
      <c r="AR153" s="483"/>
      <c r="AS153" s="483"/>
      <c r="AT153" s="483"/>
      <c r="AU153" s="483"/>
      <c r="AV153" s="483"/>
      <c r="AW153" s="483"/>
      <c r="AX153" s="483"/>
      <c r="AY153" s="483"/>
      <c r="AZ153" s="483"/>
      <c r="BA153" s="483"/>
      <c r="BB153" s="483"/>
      <c r="BC153" s="483"/>
      <c r="BD153" s="483"/>
      <c r="BE153" s="483"/>
    </row>
    <row r="154" spans="6:57" s="482" customFormat="1" x14ac:dyDescent="0.25">
      <c r="F154" s="647"/>
      <c r="G154" s="650"/>
      <c r="H154" s="647"/>
      <c r="I154" s="648"/>
      <c r="J154" s="648"/>
      <c r="K154" s="648"/>
      <c r="L154" s="648"/>
      <c r="M154" s="484"/>
      <c r="N154" s="484"/>
      <c r="O154" s="484"/>
      <c r="P154" s="484"/>
      <c r="Q154" s="484"/>
      <c r="R154" s="484"/>
      <c r="S154" s="484"/>
      <c r="T154" s="483"/>
      <c r="U154" s="483"/>
      <c r="V154" s="483"/>
      <c r="W154" s="483"/>
      <c r="X154" s="483"/>
      <c r="Y154" s="483"/>
      <c r="Z154" s="483"/>
      <c r="AA154" s="483"/>
      <c r="AB154" s="483"/>
      <c r="AC154" s="483"/>
      <c r="AD154" s="483"/>
      <c r="AE154" s="483"/>
      <c r="AF154" s="483"/>
      <c r="AG154" s="483"/>
      <c r="AH154" s="483"/>
      <c r="AI154" s="483"/>
      <c r="AJ154" s="483"/>
      <c r="AK154" s="483"/>
      <c r="AL154" s="483"/>
      <c r="AM154" s="483"/>
      <c r="AN154" s="483"/>
      <c r="AO154" s="483"/>
      <c r="AP154" s="483"/>
      <c r="AQ154" s="483"/>
      <c r="AR154" s="483"/>
      <c r="AS154" s="483"/>
      <c r="AT154" s="483"/>
      <c r="AU154" s="483"/>
      <c r="AV154" s="483"/>
      <c r="AW154" s="483"/>
      <c r="AX154" s="483"/>
      <c r="AY154" s="483"/>
      <c r="AZ154" s="483"/>
      <c r="BA154" s="483"/>
      <c r="BB154" s="483"/>
      <c r="BC154" s="483"/>
      <c r="BD154" s="483"/>
      <c r="BE154" s="483"/>
    </row>
    <row r="155" spans="6:57" s="482" customFormat="1" x14ac:dyDescent="0.25">
      <c r="F155" s="647"/>
      <c r="G155" s="650"/>
      <c r="H155" s="647"/>
      <c r="I155" s="647"/>
      <c r="J155" s="647"/>
      <c r="K155" s="647"/>
      <c r="L155" s="647"/>
      <c r="M155" s="483"/>
      <c r="N155" s="483"/>
      <c r="O155" s="483"/>
      <c r="P155" s="483"/>
      <c r="Q155" s="483"/>
      <c r="R155" s="483"/>
      <c r="S155" s="483"/>
      <c r="T155" s="483"/>
      <c r="U155" s="483"/>
      <c r="V155" s="483"/>
      <c r="W155" s="483"/>
      <c r="X155" s="483"/>
      <c r="Y155" s="483"/>
      <c r="Z155" s="483"/>
      <c r="AA155" s="483"/>
      <c r="AB155" s="483"/>
      <c r="AC155" s="483"/>
      <c r="AD155" s="483"/>
      <c r="AE155" s="483"/>
      <c r="AF155" s="483"/>
      <c r="AG155" s="483"/>
      <c r="AH155" s="483"/>
      <c r="AI155" s="483"/>
      <c r="AJ155" s="483"/>
      <c r="AK155" s="483"/>
      <c r="AL155" s="483"/>
      <c r="AM155" s="483"/>
      <c r="AN155" s="483"/>
      <c r="AO155" s="483"/>
      <c r="AP155" s="483"/>
      <c r="AQ155" s="483"/>
      <c r="AR155" s="483"/>
      <c r="AS155" s="483"/>
      <c r="AT155" s="483"/>
      <c r="AU155" s="483"/>
      <c r="AV155" s="483"/>
      <c r="AW155" s="483"/>
      <c r="AX155" s="483"/>
      <c r="AY155" s="483"/>
      <c r="AZ155" s="483"/>
      <c r="BA155" s="483"/>
      <c r="BB155" s="483"/>
      <c r="BC155" s="483"/>
      <c r="BD155" s="483"/>
      <c r="BE155" s="483"/>
    </row>
    <row r="156" spans="6:57" s="482" customFormat="1" x14ac:dyDescent="0.25">
      <c r="F156" s="647"/>
      <c r="G156" s="650"/>
      <c r="H156" s="647"/>
      <c r="I156" s="648"/>
      <c r="J156" s="648"/>
      <c r="K156" s="648"/>
      <c r="L156" s="648"/>
      <c r="M156" s="484"/>
      <c r="N156" s="484"/>
      <c r="O156" s="484"/>
      <c r="P156" s="484"/>
      <c r="Q156" s="484"/>
      <c r="R156" s="484"/>
      <c r="S156" s="484"/>
      <c r="T156" s="483"/>
      <c r="U156" s="483"/>
      <c r="V156" s="483"/>
      <c r="W156" s="483"/>
      <c r="X156" s="483"/>
      <c r="Y156" s="483"/>
      <c r="Z156" s="483"/>
      <c r="AA156" s="483"/>
      <c r="AB156" s="483"/>
      <c r="AC156" s="483"/>
      <c r="AD156" s="483"/>
      <c r="AE156" s="483"/>
      <c r="AF156" s="483"/>
      <c r="AG156" s="483"/>
      <c r="AH156" s="483"/>
      <c r="AI156" s="483"/>
      <c r="AJ156" s="483"/>
      <c r="AK156" s="483"/>
      <c r="AL156" s="483"/>
      <c r="AM156" s="483"/>
      <c r="AN156" s="483"/>
      <c r="AO156" s="483"/>
      <c r="AP156" s="483"/>
      <c r="AQ156" s="483"/>
      <c r="AR156" s="483"/>
      <c r="AS156" s="483"/>
      <c r="AT156" s="483"/>
      <c r="AU156" s="483"/>
      <c r="AV156" s="483"/>
      <c r="AW156" s="483"/>
      <c r="AX156" s="483"/>
      <c r="AY156" s="483"/>
      <c r="AZ156" s="483"/>
      <c r="BA156" s="483"/>
      <c r="BB156" s="483"/>
      <c r="BC156" s="483"/>
      <c r="BD156" s="483"/>
      <c r="BE156" s="483"/>
    </row>
    <row r="157" spans="6:57" s="482" customFormat="1" x14ac:dyDescent="0.25">
      <c r="F157" s="647"/>
      <c r="G157" s="652"/>
      <c r="H157" s="649"/>
      <c r="I157" s="647"/>
      <c r="J157" s="647"/>
      <c r="K157" s="647"/>
      <c r="L157" s="647"/>
      <c r="M157" s="483"/>
      <c r="N157" s="483"/>
      <c r="O157" s="483"/>
      <c r="P157" s="483"/>
      <c r="Q157" s="483"/>
      <c r="R157" s="483"/>
      <c r="S157" s="483"/>
      <c r="T157" s="483"/>
      <c r="U157" s="483"/>
      <c r="V157" s="483"/>
      <c r="W157" s="483"/>
      <c r="X157" s="483"/>
      <c r="Y157" s="483"/>
      <c r="Z157" s="483"/>
      <c r="AA157" s="483"/>
      <c r="AB157" s="483"/>
      <c r="AC157" s="483"/>
      <c r="AD157" s="483"/>
      <c r="AE157" s="483"/>
      <c r="AF157" s="483"/>
      <c r="AG157" s="483"/>
      <c r="AH157" s="483"/>
      <c r="AI157" s="483"/>
      <c r="AJ157" s="483"/>
      <c r="AK157" s="483"/>
      <c r="AL157" s="483"/>
      <c r="AM157" s="483"/>
      <c r="AN157" s="483"/>
      <c r="AO157" s="483"/>
      <c r="AP157" s="483"/>
      <c r="AQ157" s="483"/>
      <c r="AR157" s="483"/>
      <c r="AS157" s="483"/>
      <c r="AT157" s="483"/>
      <c r="AU157" s="483"/>
      <c r="AV157" s="483"/>
      <c r="AW157" s="483"/>
      <c r="AX157" s="483"/>
      <c r="AY157" s="483"/>
      <c r="AZ157" s="483"/>
      <c r="BA157" s="483"/>
      <c r="BB157" s="483"/>
      <c r="BC157" s="483"/>
      <c r="BD157" s="483"/>
      <c r="BE157" s="483"/>
    </row>
    <row r="158" spans="6:57" s="482" customFormat="1" x14ac:dyDescent="0.25">
      <c r="F158" s="647"/>
      <c r="G158" s="652"/>
      <c r="H158" s="649"/>
      <c r="I158" s="647"/>
      <c r="J158" s="647"/>
      <c r="K158" s="647"/>
      <c r="L158" s="647"/>
      <c r="M158" s="483"/>
      <c r="N158" s="483"/>
      <c r="O158" s="483"/>
      <c r="P158" s="483"/>
      <c r="Q158" s="483"/>
      <c r="R158" s="483"/>
      <c r="S158" s="483"/>
      <c r="T158" s="483"/>
      <c r="U158" s="483"/>
      <c r="V158" s="483"/>
      <c r="W158" s="483"/>
      <c r="X158" s="483"/>
      <c r="Y158" s="483"/>
      <c r="Z158" s="483"/>
      <c r="AA158" s="483"/>
      <c r="AB158" s="483"/>
      <c r="AC158" s="483"/>
      <c r="AD158" s="483"/>
      <c r="AE158" s="483"/>
      <c r="AF158" s="483"/>
      <c r="AG158" s="483"/>
      <c r="AH158" s="483"/>
      <c r="AI158" s="483"/>
      <c r="AJ158" s="483"/>
      <c r="AK158" s="483"/>
      <c r="AL158" s="483"/>
      <c r="AM158" s="483"/>
      <c r="AN158" s="483"/>
      <c r="AO158" s="483"/>
      <c r="AP158" s="483"/>
      <c r="AQ158" s="483"/>
      <c r="AR158" s="483"/>
      <c r="AS158" s="483"/>
      <c r="AT158" s="483"/>
      <c r="AU158" s="483"/>
      <c r="AV158" s="483"/>
      <c r="AW158" s="483"/>
      <c r="AX158" s="483"/>
      <c r="AY158" s="483"/>
      <c r="AZ158" s="483"/>
      <c r="BA158" s="483"/>
      <c r="BB158" s="483"/>
      <c r="BC158" s="483"/>
      <c r="BD158" s="483"/>
      <c r="BE158" s="483"/>
    </row>
    <row r="159" spans="6:57" s="482" customFormat="1" x14ac:dyDescent="0.25">
      <c r="F159" s="647"/>
      <c r="G159" s="652"/>
      <c r="H159" s="649"/>
      <c r="I159" s="647"/>
      <c r="J159" s="647"/>
      <c r="K159" s="647"/>
      <c r="L159" s="647"/>
      <c r="M159" s="483"/>
      <c r="N159" s="483"/>
      <c r="O159" s="483"/>
      <c r="P159" s="483"/>
      <c r="Q159" s="483"/>
      <c r="R159" s="483"/>
      <c r="S159" s="483"/>
      <c r="T159" s="483"/>
      <c r="U159" s="483"/>
      <c r="V159" s="483"/>
      <c r="W159" s="483"/>
      <c r="X159" s="483"/>
      <c r="Y159" s="483"/>
      <c r="Z159" s="483"/>
      <c r="AA159" s="483"/>
      <c r="AB159" s="483"/>
      <c r="AC159" s="483"/>
      <c r="AD159" s="483"/>
      <c r="AE159" s="483"/>
      <c r="AF159" s="483"/>
      <c r="AG159" s="483"/>
      <c r="AH159" s="483"/>
      <c r="AI159" s="483"/>
      <c r="AJ159" s="483"/>
      <c r="AK159" s="483"/>
      <c r="AL159" s="483"/>
      <c r="AM159" s="483"/>
      <c r="AN159" s="483"/>
      <c r="AO159" s="483"/>
      <c r="AP159" s="483"/>
      <c r="AQ159" s="483"/>
      <c r="AR159" s="483"/>
      <c r="AS159" s="483"/>
      <c r="AT159" s="483"/>
      <c r="AU159" s="483"/>
      <c r="AV159" s="483"/>
      <c r="AW159" s="483"/>
      <c r="AX159" s="483"/>
      <c r="AY159" s="483"/>
      <c r="AZ159" s="483"/>
      <c r="BA159" s="483"/>
      <c r="BB159" s="483"/>
      <c r="BC159" s="483"/>
      <c r="BD159" s="483"/>
      <c r="BE159" s="483"/>
    </row>
    <row r="160" spans="6:57" s="482" customFormat="1" x14ac:dyDescent="0.25">
      <c r="F160" s="647"/>
      <c r="G160" s="652"/>
      <c r="H160" s="649"/>
      <c r="I160" s="647"/>
      <c r="J160" s="647"/>
      <c r="K160" s="647"/>
      <c r="L160" s="647"/>
      <c r="M160" s="483"/>
      <c r="N160" s="483"/>
      <c r="O160" s="483"/>
      <c r="P160" s="483"/>
      <c r="Q160" s="483"/>
      <c r="R160" s="483"/>
      <c r="S160" s="483"/>
      <c r="T160" s="483"/>
      <c r="U160" s="483"/>
      <c r="V160" s="483"/>
      <c r="W160" s="483"/>
      <c r="X160" s="483"/>
      <c r="Y160" s="483"/>
      <c r="Z160" s="483"/>
      <c r="AA160" s="483"/>
      <c r="AB160" s="483"/>
      <c r="AC160" s="483"/>
      <c r="AD160" s="483"/>
      <c r="AE160" s="483"/>
      <c r="AF160" s="483"/>
      <c r="AG160" s="483"/>
      <c r="AH160" s="483"/>
      <c r="AI160" s="483"/>
      <c r="AJ160" s="483"/>
      <c r="AK160" s="483"/>
      <c r="AL160" s="483"/>
      <c r="AM160" s="483"/>
      <c r="AN160" s="483"/>
      <c r="AO160" s="483"/>
      <c r="AP160" s="483"/>
      <c r="AQ160" s="483"/>
      <c r="AR160" s="483"/>
      <c r="AS160" s="483"/>
      <c r="AT160" s="483"/>
      <c r="AU160" s="483"/>
      <c r="AV160" s="483"/>
      <c r="AW160" s="483"/>
      <c r="AX160" s="483"/>
      <c r="AY160" s="483"/>
      <c r="AZ160" s="483"/>
      <c r="BA160" s="483"/>
      <c r="BB160" s="483"/>
      <c r="BC160" s="483"/>
      <c r="BD160" s="483"/>
      <c r="BE160" s="483"/>
    </row>
    <row r="161" spans="6:57" s="482" customFormat="1" x14ac:dyDescent="0.25">
      <c r="F161" s="647"/>
      <c r="G161" s="650"/>
      <c r="H161" s="649"/>
      <c r="I161" s="647"/>
      <c r="J161" s="647"/>
      <c r="K161" s="647"/>
      <c r="L161" s="647"/>
      <c r="M161" s="483"/>
      <c r="N161" s="483"/>
      <c r="O161" s="483"/>
      <c r="P161" s="483"/>
      <c r="Q161" s="483"/>
      <c r="R161" s="483"/>
      <c r="S161" s="483"/>
      <c r="T161" s="483"/>
      <c r="U161" s="483"/>
      <c r="V161" s="483"/>
      <c r="W161" s="483"/>
      <c r="X161" s="483"/>
      <c r="Y161" s="483"/>
      <c r="Z161" s="483"/>
      <c r="AA161" s="483"/>
      <c r="AB161" s="483"/>
      <c r="AC161" s="483"/>
      <c r="AD161" s="483"/>
      <c r="AE161" s="483"/>
      <c r="AF161" s="483"/>
      <c r="AG161" s="483"/>
      <c r="AH161" s="483"/>
      <c r="AI161" s="483"/>
      <c r="AJ161" s="483"/>
      <c r="AK161" s="483"/>
      <c r="AL161" s="483"/>
      <c r="AM161" s="483"/>
      <c r="AN161" s="483"/>
      <c r="AO161" s="483"/>
      <c r="AP161" s="483"/>
      <c r="AQ161" s="483"/>
      <c r="AR161" s="483"/>
      <c r="AS161" s="483"/>
      <c r="AT161" s="483"/>
      <c r="AU161" s="483"/>
      <c r="AV161" s="483"/>
      <c r="AW161" s="483"/>
      <c r="AX161" s="483"/>
      <c r="AY161" s="483"/>
      <c r="AZ161" s="483"/>
      <c r="BA161" s="483"/>
      <c r="BB161" s="483"/>
      <c r="BC161" s="483"/>
      <c r="BD161" s="483"/>
      <c r="BE161" s="483"/>
    </row>
    <row r="162" spans="6:57" s="482" customFormat="1" x14ac:dyDescent="0.25">
      <c r="F162" s="483"/>
      <c r="G162" s="569"/>
      <c r="H162" s="518"/>
      <c r="I162" s="626"/>
      <c r="J162" s="483"/>
      <c r="K162" s="483"/>
      <c r="L162" s="588"/>
      <c r="M162" s="483"/>
      <c r="N162" s="483"/>
      <c r="O162" s="483"/>
      <c r="P162" s="483"/>
      <c r="Q162" s="483"/>
      <c r="R162" s="483"/>
      <c r="S162" s="483"/>
      <c r="T162" s="483"/>
      <c r="U162" s="483"/>
      <c r="V162" s="483"/>
      <c r="W162" s="483"/>
      <c r="X162" s="483"/>
      <c r="Y162" s="483"/>
      <c r="Z162" s="483"/>
      <c r="AA162" s="483"/>
      <c r="AB162" s="483"/>
      <c r="AC162" s="483"/>
      <c r="AD162" s="483"/>
      <c r="AE162" s="483"/>
      <c r="AF162" s="483"/>
      <c r="AG162" s="483"/>
      <c r="AH162" s="483"/>
      <c r="AI162" s="483"/>
      <c r="AJ162" s="483"/>
      <c r="AK162" s="483"/>
      <c r="AL162" s="483"/>
      <c r="AM162" s="483"/>
      <c r="AN162" s="483"/>
      <c r="AO162" s="483"/>
      <c r="AP162" s="483"/>
      <c r="AQ162" s="483"/>
      <c r="AR162" s="483"/>
      <c r="AS162" s="483"/>
      <c r="AT162" s="483"/>
      <c r="AU162" s="483"/>
      <c r="AV162" s="483"/>
      <c r="AW162" s="483"/>
      <c r="AX162" s="483"/>
      <c r="AY162" s="483"/>
      <c r="AZ162" s="483"/>
      <c r="BA162" s="483"/>
      <c r="BB162" s="483"/>
      <c r="BC162" s="483"/>
      <c r="BD162" s="483"/>
      <c r="BE162" s="483"/>
    </row>
    <row r="163" spans="6:57" s="482" customFormat="1" x14ac:dyDescent="0.25">
      <c r="F163" s="483"/>
      <c r="G163" s="569"/>
      <c r="H163" s="518"/>
      <c r="I163" s="626"/>
      <c r="J163" s="483"/>
      <c r="K163" s="483"/>
      <c r="L163" s="588"/>
      <c r="M163" s="483"/>
      <c r="N163" s="483"/>
      <c r="O163" s="483"/>
      <c r="P163" s="483"/>
      <c r="Q163" s="483"/>
      <c r="R163" s="483"/>
      <c r="S163" s="483"/>
      <c r="T163" s="483"/>
      <c r="U163" s="483"/>
      <c r="V163" s="483"/>
      <c r="W163" s="483"/>
      <c r="X163" s="483"/>
      <c r="Y163" s="483"/>
      <c r="Z163" s="483"/>
      <c r="AA163" s="483"/>
      <c r="AB163" s="483"/>
      <c r="AC163" s="483"/>
      <c r="AD163" s="483"/>
      <c r="AE163" s="483"/>
      <c r="AF163" s="483"/>
      <c r="AG163" s="483"/>
      <c r="AH163" s="483"/>
      <c r="AI163" s="483"/>
      <c r="AJ163" s="483"/>
      <c r="AK163" s="483"/>
      <c r="AL163" s="483"/>
      <c r="AM163" s="483"/>
      <c r="AN163" s="483"/>
      <c r="AO163" s="483"/>
      <c r="AP163" s="483"/>
      <c r="AQ163" s="483"/>
      <c r="AR163" s="483"/>
      <c r="AS163" s="483"/>
      <c r="AT163" s="483"/>
      <c r="AU163" s="483"/>
      <c r="AV163" s="483"/>
      <c r="AW163" s="483"/>
      <c r="AX163" s="483"/>
      <c r="AY163" s="483"/>
      <c r="AZ163" s="483"/>
      <c r="BA163" s="483"/>
      <c r="BB163" s="483"/>
      <c r="BC163" s="483"/>
      <c r="BD163" s="483"/>
      <c r="BE163" s="483"/>
    </row>
    <row r="164" spans="6:57" s="482" customFormat="1" x14ac:dyDescent="0.25">
      <c r="F164" s="483"/>
      <c r="G164" s="569"/>
      <c r="H164" s="518"/>
      <c r="I164" s="626"/>
      <c r="J164" s="483"/>
      <c r="K164" s="483"/>
      <c r="L164" s="588"/>
      <c r="M164" s="483"/>
      <c r="N164" s="483"/>
      <c r="O164" s="483"/>
      <c r="P164" s="483"/>
      <c r="Q164" s="483"/>
      <c r="R164" s="483"/>
      <c r="S164" s="483"/>
      <c r="T164" s="483"/>
      <c r="U164" s="483"/>
      <c r="V164" s="483"/>
      <c r="W164" s="483"/>
      <c r="X164" s="483"/>
      <c r="Y164" s="483"/>
      <c r="Z164" s="483"/>
      <c r="AA164" s="483"/>
      <c r="AB164" s="483"/>
      <c r="AC164" s="483"/>
      <c r="AD164" s="483"/>
      <c r="AE164" s="483"/>
      <c r="AF164" s="483"/>
      <c r="AG164" s="483"/>
      <c r="AH164" s="483"/>
      <c r="AI164" s="483"/>
      <c r="AJ164" s="483"/>
      <c r="AK164" s="483"/>
      <c r="AL164" s="483"/>
      <c r="AM164" s="483"/>
      <c r="AN164" s="483"/>
      <c r="AO164" s="483"/>
      <c r="AP164" s="483"/>
      <c r="AQ164" s="483"/>
      <c r="AR164" s="483"/>
      <c r="AS164" s="483"/>
      <c r="AT164" s="483"/>
      <c r="AU164" s="483"/>
      <c r="AV164" s="483"/>
      <c r="AW164" s="483"/>
      <c r="AX164" s="483"/>
      <c r="AY164" s="483"/>
      <c r="AZ164" s="483"/>
      <c r="BA164" s="483"/>
      <c r="BB164" s="483"/>
      <c r="BC164" s="483"/>
      <c r="BD164" s="483"/>
      <c r="BE164" s="483"/>
    </row>
    <row r="165" spans="6:57" s="482" customFormat="1" x14ac:dyDescent="0.25">
      <c r="F165" s="483"/>
      <c r="G165" s="569"/>
      <c r="H165" s="518"/>
      <c r="I165" s="626"/>
      <c r="J165" s="483"/>
      <c r="K165" s="483"/>
      <c r="L165" s="588"/>
      <c r="M165" s="483"/>
      <c r="N165" s="483"/>
      <c r="O165" s="483"/>
      <c r="P165" s="483"/>
      <c r="Q165" s="483"/>
      <c r="R165" s="483"/>
      <c r="S165" s="483"/>
      <c r="T165" s="483"/>
      <c r="U165" s="483"/>
      <c r="V165" s="483"/>
      <c r="W165" s="483"/>
      <c r="X165" s="483"/>
      <c r="Y165" s="483"/>
      <c r="Z165" s="483"/>
      <c r="AA165" s="483"/>
      <c r="AB165" s="483"/>
      <c r="AC165" s="483"/>
      <c r="AD165" s="483"/>
      <c r="AE165" s="483"/>
      <c r="AF165" s="483"/>
      <c r="AG165" s="483"/>
      <c r="AH165" s="483"/>
      <c r="AI165" s="483"/>
      <c r="AJ165" s="483"/>
      <c r="AK165" s="483"/>
      <c r="AL165" s="483"/>
      <c r="AM165" s="483"/>
      <c r="AN165" s="483"/>
      <c r="AO165" s="483"/>
      <c r="AP165" s="483"/>
      <c r="AQ165" s="483"/>
      <c r="AR165" s="483"/>
      <c r="AS165" s="483"/>
      <c r="AT165" s="483"/>
      <c r="AU165" s="483"/>
      <c r="AV165" s="483"/>
      <c r="AW165" s="483"/>
      <c r="AX165" s="483"/>
      <c r="AY165" s="483"/>
      <c r="AZ165" s="483"/>
      <c r="BA165" s="483"/>
      <c r="BB165" s="483"/>
      <c r="BC165" s="483"/>
      <c r="BD165" s="483"/>
      <c r="BE165" s="483"/>
    </row>
    <row r="166" spans="6:57" s="482" customFormat="1" x14ac:dyDescent="0.25">
      <c r="F166" s="483"/>
      <c r="G166" s="569"/>
      <c r="H166" s="518"/>
      <c r="I166" s="626"/>
      <c r="J166" s="483"/>
      <c r="K166" s="483"/>
      <c r="L166" s="588"/>
      <c r="M166" s="483"/>
      <c r="N166" s="483"/>
      <c r="O166" s="483"/>
      <c r="P166" s="483"/>
      <c r="Q166" s="483"/>
      <c r="R166" s="483"/>
      <c r="S166" s="483"/>
      <c r="T166" s="483"/>
      <c r="U166" s="483"/>
      <c r="V166" s="483"/>
      <c r="W166" s="483"/>
      <c r="X166" s="483"/>
      <c r="Y166" s="483"/>
      <c r="Z166" s="483"/>
      <c r="AA166" s="483"/>
      <c r="AB166" s="483"/>
      <c r="AC166" s="483"/>
      <c r="AD166" s="483"/>
      <c r="AE166" s="483"/>
      <c r="AF166" s="483"/>
      <c r="AG166" s="483"/>
      <c r="AH166" s="483"/>
      <c r="AI166" s="483"/>
      <c r="AJ166" s="483"/>
      <c r="AK166" s="483"/>
      <c r="AL166" s="483"/>
      <c r="AM166" s="483"/>
      <c r="AN166" s="483"/>
      <c r="AO166" s="483"/>
      <c r="AP166" s="483"/>
      <c r="AQ166" s="483"/>
      <c r="AR166" s="483"/>
      <c r="AS166" s="483"/>
      <c r="AT166" s="483"/>
      <c r="AU166" s="483"/>
      <c r="AV166" s="483"/>
      <c r="AW166" s="483"/>
      <c r="AX166" s="483"/>
      <c r="AY166" s="483"/>
      <c r="AZ166" s="483"/>
      <c r="BA166" s="483"/>
      <c r="BB166" s="483"/>
      <c r="BC166" s="483"/>
      <c r="BD166" s="483"/>
      <c r="BE166" s="483"/>
    </row>
    <row r="167" spans="6:57" s="482" customFormat="1" x14ac:dyDescent="0.25">
      <c r="F167" s="483"/>
      <c r="G167" s="569"/>
      <c r="H167" s="518"/>
      <c r="I167" s="626"/>
      <c r="J167" s="483"/>
      <c r="K167" s="483"/>
      <c r="L167" s="588"/>
      <c r="M167" s="483"/>
      <c r="N167" s="483"/>
      <c r="O167" s="483"/>
      <c r="P167" s="483"/>
      <c r="Q167" s="483"/>
      <c r="R167" s="483"/>
      <c r="S167" s="483"/>
      <c r="T167" s="483"/>
      <c r="U167" s="483"/>
      <c r="V167" s="483"/>
      <c r="W167" s="483"/>
      <c r="X167" s="483"/>
      <c r="Y167" s="483"/>
      <c r="Z167" s="483"/>
      <c r="AA167" s="483"/>
      <c r="AB167" s="483"/>
      <c r="AC167" s="483"/>
      <c r="AD167" s="483"/>
      <c r="AE167" s="483"/>
      <c r="AF167" s="483"/>
      <c r="AG167" s="483"/>
      <c r="AH167" s="483"/>
      <c r="AI167" s="483"/>
      <c r="AJ167" s="483"/>
      <c r="AK167" s="483"/>
      <c r="AL167" s="483"/>
      <c r="AM167" s="483"/>
      <c r="AN167" s="483"/>
      <c r="AO167" s="483"/>
      <c r="AP167" s="483"/>
      <c r="AQ167" s="483"/>
      <c r="AR167" s="483"/>
      <c r="AS167" s="483"/>
      <c r="AT167" s="483"/>
      <c r="AU167" s="483"/>
      <c r="AV167" s="483"/>
      <c r="AW167" s="483"/>
      <c r="AX167" s="483"/>
      <c r="AY167" s="483"/>
      <c r="AZ167" s="483"/>
      <c r="BA167" s="483"/>
      <c r="BB167" s="483"/>
      <c r="BC167" s="483"/>
      <c r="BD167" s="483"/>
      <c r="BE167" s="483"/>
    </row>
    <row r="168" spans="6:57" s="482" customFormat="1" x14ac:dyDescent="0.25">
      <c r="F168" s="483"/>
      <c r="G168" s="569"/>
      <c r="H168" s="518"/>
      <c r="I168" s="626"/>
      <c r="J168" s="483"/>
      <c r="K168" s="483"/>
      <c r="L168" s="588"/>
      <c r="M168" s="483"/>
      <c r="N168" s="483"/>
      <c r="O168" s="483"/>
      <c r="P168" s="483"/>
      <c r="Q168" s="483"/>
      <c r="R168" s="483"/>
      <c r="S168" s="483"/>
      <c r="T168" s="483"/>
      <c r="U168" s="483"/>
      <c r="V168" s="483"/>
      <c r="W168" s="483"/>
      <c r="X168" s="483"/>
      <c r="Y168" s="483"/>
      <c r="Z168" s="483"/>
      <c r="AA168" s="483"/>
      <c r="AB168" s="483"/>
      <c r="AC168" s="483"/>
      <c r="AD168" s="483"/>
      <c r="AE168" s="483"/>
      <c r="AF168" s="483"/>
      <c r="AG168" s="483"/>
      <c r="AH168" s="483"/>
      <c r="AI168" s="483"/>
      <c r="AJ168" s="483"/>
      <c r="AK168" s="483"/>
      <c r="AL168" s="483"/>
      <c r="AM168" s="483"/>
      <c r="AN168" s="483"/>
      <c r="AO168" s="483"/>
      <c r="AP168" s="483"/>
      <c r="AQ168" s="483"/>
      <c r="AR168" s="483"/>
      <c r="AS168" s="483"/>
      <c r="AT168" s="483"/>
      <c r="AU168" s="483"/>
      <c r="AV168" s="483"/>
      <c r="AW168" s="483"/>
      <c r="AX168" s="483"/>
      <c r="AY168" s="483"/>
      <c r="AZ168" s="483"/>
      <c r="BA168" s="483"/>
      <c r="BB168" s="483"/>
      <c r="BC168" s="483"/>
      <c r="BD168" s="483"/>
      <c r="BE168" s="483"/>
    </row>
    <row r="169" spans="6:57" s="482" customFormat="1" x14ac:dyDescent="0.25">
      <c r="F169" s="483"/>
      <c r="G169" s="569"/>
      <c r="H169" s="518"/>
      <c r="I169" s="626"/>
      <c r="J169" s="483"/>
      <c r="K169" s="483"/>
      <c r="L169" s="588"/>
      <c r="M169" s="483"/>
      <c r="N169" s="483"/>
      <c r="O169" s="483"/>
      <c r="P169" s="483"/>
      <c r="Q169" s="483"/>
      <c r="R169" s="483"/>
      <c r="S169" s="483"/>
      <c r="T169" s="483"/>
      <c r="U169" s="483"/>
      <c r="V169" s="483"/>
      <c r="W169" s="483"/>
      <c r="X169" s="483"/>
      <c r="Y169" s="483"/>
      <c r="Z169" s="483"/>
      <c r="AA169" s="483"/>
      <c r="AB169" s="483"/>
      <c r="AC169" s="483"/>
      <c r="AD169" s="483"/>
      <c r="AE169" s="483"/>
      <c r="AF169" s="483"/>
      <c r="AG169" s="483"/>
      <c r="AH169" s="483"/>
      <c r="AI169" s="483"/>
      <c r="AJ169" s="483"/>
      <c r="AK169" s="483"/>
      <c r="AL169" s="483"/>
      <c r="AM169" s="483"/>
      <c r="AN169" s="483"/>
      <c r="AO169" s="483"/>
      <c r="AP169" s="483"/>
      <c r="AQ169" s="483"/>
      <c r="AR169" s="483"/>
      <c r="AS169" s="483"/>
      <c r="AT169" s="483"/>
      <c r="AU169" s="483"/>
      <c r="AV169" s="483"/>
      <c r="AW169" s="483"/>
      <c r="AX169" s="483"/>
      <c r="AY169" s="483"/>
      <c r="AZ169" s="483"/>
      <c r="BA169" s="483"/>
      <c r="BB169" s="483"/>
      <c r="BC169" s="483"/>
      <c r="BD169" s="483"/>
      <c r="BE169" s="483"/>
    </row>
    <row r="170" spans="6:57" s="482" customFormat="1" x14ac:dyDescent="0.25">
      <c r="F170" s="483"/>
      <c r="G170" s="569"/>
      <c r="H170" s="518"/>
      <c r="I170" s="626"/>
      <c r="J170" s="483"/>
      <c r="K170" s="483"/>
      <c r="L170" s="588"/>
      <c r="M170" s="483"/>
      <c r="N170" s="483"/>
      <c r="O170" s="483"/>
      <c r="P170" s="483"/>
      <c r="Q170" s="483"/>
      <c r="R170" s="483"/>
      <c r="S170" s="483"/>
      <c r="T170" s="483"/>
      <c r="U170" s="483"/>
      <c r="V170" s="483"/>
      <c r="W170" s="483"/>
      <c r="X170" s="483"/>
      <c r="Y170" s="483"/>
      <c r="Z170" s="483"/>
      <c r="AA170" s="483"/>
      <c r="AB170" s="483"/>
      <c r="AC170" s="483"/>
      <c r="AD170" s="483"/>
      <c r="AE170" s="483"/>
      <c r="AF170" s="483"/>
      <c r="AG170" s="483"/>
      <c r="AH170" s="483"/>
      <c r="AI170" s="483"/>
      <c r="AJ170" s="483"/>
      <c r="AK170" s="483"/>
      <c r="AL170" s="483"/>
      <c r="AM170" s="483"/>
      <c r="AN170" s="483"/>
      <c r="AO170" s="483"/>
      <c r="AP170" s="483"/>
      <c r="AQ170" s="483"/>
      <c r="AR170" s="483"/>
      <c r="AS170" s="483"/>
      <c r="AT170" s="483"/>
      <c r="AU170" s="483"/>
      <c r="AV170" s="483"/>
      <c r="AW170" s="483"/>
      <c r="AX170" s="483"/>
      <c r="AY170" s="483"/>
      <c r="AZ170" s="483"/>
      <c r="BA170" s="483"/>
      <c r="BB170" s="483"/>
      <c r="BC170" s="483"/>
      <c r="BD170" s="483"/>
      <c r="BE170" s="483"/>
    </row>
    <row r="171" spans="6:57" s="482" customFormat="1" x14ac:dyDescent="0.25">
      <c r="F171" s="483"/>
      <c r="G171" s="569"/>
      <c r="H171" s="518"/>
      <c r="I171" s="626"/>
      <c r="J171" s="483"/>
      <c r="K171" s="483"/>
      <c r="L171" s="588"/>
      <c r="M171" s="483"/>
      <c r="N171" s="483"/>
      <c r="O171" s="483"/>
      <c r="P171" s="483"/>
      <c r="Q171" s="483"/>
      <c r="R171" s="483"/>
      <c r="S171" s="483"/>
      <c r="T171" s="483"/>
      <c r="U171" s="483"/>
      <c r="V171" s="483"/>
      <c r="W171" s="483"/>
      <c r="X171" s="483"/>
      <c r="Y171" s="483"/>
      <c r="Z171" s="483"/>
      <c r="AA171" s="483"/>
      <c r="AB171" s="483"/>
      <c r="AC171" s="483"/>
      <c r="AD171" s="483"/>
      <c r="AE171" s="483"/>
      <c r="AF171" s="483"/>
      <c r="AG171" s="483"/>
      <c r="AH171" s="483"/>
      <c r="AI171" s="483"/>
      <c r="AJ171" s="483"/>
      <c r="AK171" s="483"/>
      <c r="AL171" s="483"/>
      <c r="AM171" s="483"/>
      <c r="AN171" s="483"/>
      <c r="AO171" s="483"/>
      <c r="AP171" s="483"/>
      <c r="AQ171" s="483"/>
      <c r="AR171" s="483"/>
      <c r="AS171" s="483"/>
      <c r="AT171" s="483"/>
      <c r="AU171" s="483"/>
      <c r="AV171" s="483"/>
      <c r="AW171" s="483"/>
      <c r="AX171" s="483"/>
      <c r="AY171" s="483"/>
      <c r="AZ171" s="483"/>
      <c r="BA171" s="483"/>
      <c r="BB171" s="483"/>
      <c r="BC171" s="483"/>
      <c r="BD171" s="483"/>
      <c r="BE171" s="483"/>
    </row>
    <row r="172" spans="6:57" s="482" customFormat="1" x14ac:dyDescent="0.25">
      <c r="F172" s="483"/>
      <c r="G172" s="569"/>
      <c r="H172" s="518"/>
      <c r="I172" s="626"/>
      <c r="J172" s="483"/>
      <c r="K172" s="483"/>
      <c r="L172" s="588"/>
      <c r="M172" s="483"/>
      <c r="N172" s="483"/>
      <c r="O172" s="483"/>
      <c r="P172" s="483"/>
      <c r="Q172" s="483"/>
      <c r="R172" s="483"/>
      <c r="S172" s="483"/>
      <c r="T172" s="483"/>
      <c r="U172" s="483"/>
      <c r="V172" s="483"/>
      <c r="W172" s="483"/>
      <c r="X172" s="483"/>
      <c r="Y172" s="483"/>
      <c r="Z172" s="483"/>
      <c r="AA172" s="483"/>
      <c r="AB172" s="483"/>
      <c r="AC172" s="483"/>
      <c r="AD172" s="483"/>
      <c r="AE172" s="483"/>
      <c r="AF172" s="483"/>
      <c r="AG172" s="483"/>
      <c r="AH172" s="483"/>
      <c r="AI172" s="483"/>
      <c r="AJ172" s="483"/>
      <c r="AK172" s="483"/>
      <c r="AL172" s="483"/>
      <c r="AM172" s="483"/>
      <c r="AN172" s="483"/>
      <c r="AO172" s="483"/>
      <c r="AP172" s="483"/>
      <c r="AQ172" s="483"/>
      <c r="AR172" s="483"/>
      <c r="AS172" s="483"/>
      <c r="AT172" s="483"/>
      <c r="AU172" s="483"/>
      <c r="AV172" s="483"/>
      <c r="AW172" s="483"/>
      <c r="AX172" s="483"/>
      <c r="AY172" s="483"/>
      <c r="AZ172" s="483"/>
      <c r="BA172" s="483"/>
      <c r="BB172" s="483"/>
      <c r="BC172" s="483"/>
      <c r="BD172" s="483"/>
      <c r="BE172" s="483"/>
    </row>
    <row r="173" spans="6:57" s="482" customFormat="1" x14ac:dyDescent="0.25">
      <c r="F173" s="483"/>
      <c r="G173" s="569"/>
      <c r="H173" s="518"/>
      <c r="I173" s="626"/>
      <c r="J173" s="483"/>
      <c r="K173" s="483"/>
      <c r="L173" s="588"/>
      <c r="M173" s="483"/>
      <c r="N173" s="483"/>
      <c r="O173" s="483"/>
      <c r="P173" s="483"/>
      <c r="Q173" s="483"/>
      <c r="R173" s="483"/>
      <c r="S173" s="483"/>
      <c r="T173" s="483"/>
      <c r="U173" s="483"/>
      <c r="V173" s="483"/>
      <c r="W173" s="483"/>
      <c r="X173" s="483"/>
      <c r="Y173" s="483"/>
      <c r="Z173" s="483"/>
      <c r="AA173" s="483"/>
      <c r="AB173" s="483"/>
      <c r="AC173" s="483"/>
      <c r="AD173" s="483"/>
      <c r="AE173" s="483"/>
      <c r="AF173" s="483"/>
      <c r="AG173" s="483"/>
      <c r="AH173" s="483"/>
      <c r="AI173" s="483"/>
      <c r="AJ173" s="483"/>
      <c r="AK173" s="483"/>
      <c r="AL173" s="483"/>
      <c r="AM173" s="483"/>
      <c r="AN173" s="483"/>
      <c r="AO173" s="483"/>
      <c r="AP173" s="483"/>
      <c r="AQ173" s="483"/>
      <c r="AR173" s="483"/>
      <c r="AS173" s="483"/>
      <c r="AT173" s="483"/>
      <c r="AU173" s="483"/>
      <c r="AV173" s="483"/>
      <c r="AW173" s="483"/>
      <c r="AX173" s="483"/>
      <c r="AY173" s="483"/>
      <c r="AZ173" s="483"/>
      <c r="BA173" s="483"/>
      <c r="BB173" s="483"/>
      <c r="BC173" s="483"/>
      <c r="BD173" s="483"/>
      <c r="BE173" s="483"/>
    </row>
    <row r="174" spans="6:57" s="482" customFormat="1" x14ac:dyDescent="0.25">
      <c r="F174" s="483"/>
      <c r="G174" s="566"/>
      <c r="H174" s="518"/>
      <c r="I174" s="626"/>
      <c r="J174" s="483"/>
      <c r="K174" s="483"/>
      <c r="L174" s="588"/>
      <c r="M174" s="483"/>
      <c r="N174" s="483"/>
      <c r="O174" s="483"/>
      <c r="P174" s="483"/>
      <c r="Q174" s="483"/>
      <c r="R174" s="483"/>
      <c r="S174" s="483"/>
      <c r="T174" s="483"/>
      <c r="U174" s="483"/>
      <c r="V174" s="483"/>
      <c r="W174" s="483"/>
      <c r="X174" s="483"/>
      <c r="Y174" s="483"/>
      <c r="Z174" s="483"/>
      <c r="AA174" s="483"/>
      <c r="AB174" s="483"/>
      <c r="AC174" s="483"/>
      <c r="AD174" s="483"/>
      <c r="AE174" s="483"/>
      <c r="AF174" s="483"/>
      <c r="AG174" s="483"/>
      <c r="AH174" s="483"/>
      <c r="AI174" s="483"/>
      <c r="AJ174" s="483"/>
      <c r="AK174" s="483"/>
      <c r="AL174" s="483"/>
      <c r="AM174" s="483"/>
      <c r="AN174" s="483"/>
      <c r="AO174" s="483"/>
      <c r="AP174" s="483"/>
      <c r="AQ174" s="483"/>
      <c r="AR174" s="483"/>
      <c r="AS174" s="483"/>
      <c r="AT174" s="483"/>
      <c r="AU174" s="483"/>
      <c r="AV174" s="483"/>
      <c r="AW174" s="483"/>
      <c r="AX174" s="483"/>
      <c r="AY174" s="483"/>
      <c r="AZ174" s="483"/>
      <c r="BA174" s="483"/>
      <c r="BB174" s="483"/>
      <c r="BC174" s="483"/>
      <c r="BD174" s="483"/>
      <c r="BE174" s="483"/>
    </row>
    <row r="175" spans="6:57" s="482" customFormat="1" x14ac:dyDescent="0.25">
      <c r="F175" s="483"/>
      <c r="G175" s="566"/>
      <c r="H175" s="518"/>
      <c r="I175" s="626"/>
      <c r="J175" s="483"/>
      <c r="K175" s="483"/>
      <c r="L175" s="588"/>
      <c r="M175" s="483"/>
      <c r="N175" s="483"/>
      <c r="O175" s="483"/>
      <c r="P175" s="483"/>
      <c r="Q175" s="483"/>
      <c r="R175" s="483"/>
      <c r="S175" s="483"/>
      <c r="T175" s="483"/>
      <c r="U175" s="483"/>
      <c r="V175" s="483"/>
      <c r="W175" s="483"/>
      <c r="X175" s="483"/>
      <c r="Y175" s="483"/>
      <c r="Z175" s="483"/>
      <c r="AA175" s="483"/>
      <c r="AB175" s="483"/>
      <c r="AC175" s="483"/>
      <c r="AD175" s="483"/>
      <c r="AE175" s="483"/>
      <c r="AF175" s="483"/>
      <c r="AG175" s="483"/>
      <c r="AH175" s="483"/>
      <c r="AI175" s="483"/>
      <c r="AJ175" s="483"/>
      <c r="AK175" s="483"/>
      <c r="AL175" s="483"/>
      <c r="AM175" s="483"/>
      <c r="AN175" s="483"/>
      <c r="AO175" s="483"/>
      <c r="AP175" s="483"/>
      <c r="AQ175" s="483"/>
      <c r="AR175" s="483"/>
      <c r="AS175" s="483"/>
      <c r="AT175" s="483"/>
      <c r="AU175" s="483"/>
      <c r="AV175" s="483"/>
      <c r="AW175" s="483"/>
      <c r="AX175" s="483"/>
      <c r="AY175" s="483"/>
      <c r="AZ175" s="483"/>
      <c r="BA175" s="483"/>
      <c r="BB175" s="483"/>
      <c r="BC175" s="483"/>
      <c r="BD175" s="483"/>
      <c r="BE175" s="483"/>
    </row>
    <row r="176" spans="6:57" s="482" customFormat="1" x14ac:dyDescent="0.25">
      <c r="F176" s="483"/>
      <c r="G176" s="566"/>
      <c r="H176" s="518"/>
      <c r="I176" s="626"/>
      <c r="J176" s="483"/>
      <c r="K176" s="483"/>
      <c r="L176" s="588"/>
      <c r="M176" s="483"/>
      <c r="N176" s="483"/>
      <c r="O176" s="483"/>
      <c r="P176" s="483"/>
      <c r="Q176" s="483"/>
      <c r="R176" s="483"/>
      <c r="S176" s="483"/>
      <c r="T176" s="483"/>
      <c r="U176" s="483"/>
      <c r="V176" s="483"/>
      <c r="W176" s="483"/>
      <c r="X176" s="483"/>
      <c r="Y176" s="483"/>
      <c r="Z176" s="483"/>
      <c r="AA176" s="483"/>
      <c r="AB176" s="483"/>
      <c r="AC176" s="483"/>
      <c r="AD176" s="483"/>
      <c r="AE176" s="483"/>
      <c r="AF176" s="483"/>
      <c r="AG176" s="483"/>
      <c r="AH176" s="483"/>
      <c r="AI176" s="483"/>
      <c r="AJ176" s="483"/>
      <c r="AK176" s="483"/>
      <c r="AL176" s="483"/>
      <c r="AM176" s="483"/>
      <c r="AN176" s="483"/>
      <c r="AO176" s="483"/>
      <c r="AP176" s="483"/>
      <c r="AQ176" s="483"/>
      <c r="AR176" s="483"/>
      <c r="AS176" s="483"/>
      <c r="AT176" s="483"/>
      <c r="AU176" s="483"/>
      <c r="AV176" s="483"/>
      <c r="AW176" s="483"/>
      <c r="AX176" s="483"/>
      <c r="AY176" s="483"/>
      <c r="AZ176" s="483"/>
      <c r="BA176" s="483"/>
      <c r="BB176" s="483"/>
      <c r="BC176" s="483"/>
      <c r="BD176" s="483"/>
      <c r="BE176" s="483"/>
    </row>
  </sheetData>
  <sheetProtection selectLockedCells="1" selectUnlockedCells="1"/>
  <mergeCells count="8">
    <mergeCell ref="G107:H107"/>
    <mergeCell ref="G106:J106"/>
    <mergeCell ref="G105:J105"/>
    <mergeCell ref="BQ3:BQ4"/>
    <mergeCell ref="BR3:BR4"/>
    <mergeCell ref="F3:S3"/>
    <mergeCell ref="R4:S4"/>
    <mergeCell ref="I5:S5"/>
  </mergeCells>
  <printOptions horizontalCentered="1"/>
  <pageMargins left="0" right="0" top="0.59055118110236227" bottom="0.19685039370078741" header="0.51181102362204722" footer="0.51181102362204722"/>
  <pageSetup paperSize="9" scale="80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диаграм коммун.инфраструкт</vt:lpstr>
      <vt:lpstr>диаграм.жил.фонд</vt:lpstr>
      <vt:lpstr>диаграм.бюджет.сфера</vt:lpstr>
      <vt:lpstr>диаграм по отдельн видам ТЭР</vt:lpstr>
      <vt:lpstr>диаграм.общ.показ.</vt:lpstr>
      <vt:lpstr>диаграмма1</vt:lpstr>
      <vt:lpstr>данные база</vt:lpstr>
      <vt:lpstr>расчет показат</vt:lpstr>
      <vt:lpstr>ЦЕЛЕВЫЕ ПОКАЗАТЕЛИ</vt:lpstr>
      <vt:lpstr>тэр районы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курдюмова</cp:lastModifiedBy>
  <cp:lastPrinted>2014-10-15T05:08:21Z</cp:lastPrinted>
  <dcterms:created xsi:type="dcterms:W3CDTF">1996-10-08T23:32:33Z</dcterms:created>
  <dcterms:modified xsi:type="dcterms:W3CDTF">2016-04-11T06:14:18Z</dcterms:modified>
</cp:coreProperties>
</file>